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fb.sharepoint.com/sites/Policy/Shared Documents/General/"/>
    </mc:Choice>
  </mc:AlternateContent>
  <xr:revisionPtr revIDLastSave="4" documentId="8_{D84E0C82-28C6-451E-9642-093AB31E18E4}" xr6:coauthVersionLast="47" xr6:coauthVersionMax="47" xr10:uidLastSave="{F09FD12B-56C7-41FB-8F4B-6E7F1F270303}"/>
  <bookViews>
    <workbookView xWindow="-120" yWindow="-120" windowWidth="24240" windowHeight="13140" xr2:uid="{00000000-000D-0000-FFFF-FFFF00000000}"/>
  </bookViews>
  <sheets>
    <sheet name="Build Your Own Carbon Tax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9" i="8" l="1"/>
  <c r="J69" i="8"/>
  <c r="I69" i="8"/>
  <c r="H69" i="8"/>
  <c r="G69" i="8"/>
  <c r="F69" i="8"/>
  <c r="E69" i="8"/>
  <c r="D69" i="8"/>
  <c r="M67" i="8"/>
  <c r="L66" i="8"/>
  <c r="M66" i="8" s="1"/>
  <c r="K57" i="8"/>
  <c r="J57" i="8"/>
  <c r="I57" i="8"/>
  <c r="H57" i="8"/>
  <c r="G57" i="8"/>
  <c r="F57" i="8"/>
  <c r="E57" i="8"/>
  <c r="D57" i="8"/>
  <c r="M55" i="8"/>
  <c r="L54" i="8"/>
  <c r="K45" i="8"/>
  <c r="J45" i="8"/>
  <c r="I45" i="8"/>
  <c r="H45" i="8"/>
  <c r="G45" i="8"/>
  <c r="F45" i="8"/>
  <c r="E45" i="8"/>
  <c r="D45" i="8"/>
  <c r="M43" i="8"/>
  <c r="L42" i="8"/>
  <c r="M42" i="8" s="1"/>
  <c r="M39" i="8"/>
  <c r="L39" i="8"/>
  <c r="K39" i="8"/>
  <c r="J39" i="8"/>
  <c r="I39" i="8"/>
  <c r="H39" i="8"/>
  <c r="G39" i="8"/>
  <c r="F39" i="8"/>
  <c r="E39" i="8"/>
  <c r="M31" i="8"/>
  <c r="M37" i="8" s="1"/>
  <c r="L31" i="8"/>
  <c r="L37" i="8" s="1"/>
  <c r="K31" i="8"/>
  <c r="K37" i="8" s="1"/>
  <c r="J31" i="8"/>
  <c r="J37" i="8" s="1"/>
  <c r="I31" i="8"/>
  <c r="I37" i="8" s="1"/>
  <c r="H31" i="8"/>
  <c r="H37" i="8" s="1"/>
  <c r="G31" i="8"/>
  <c r="G37" i="8" s="1"/>
  <c r="F31" i="8"/>
  <c r="E31" i="8"/>
  <c r="E37" i="8" s="1"/>
  <c r="D31" i="8"/>
  <c r="S20" i="8"/>
  <c r="T18" i="8"/>
  <c r="S18" i="8"/>
  <c r="X17" i="8"/>
  <c r="X13" i="8" s="1"/>
  <c r="T16" i="8"/>
  <c r="T20" i="8" s="1"/>
  <c r="S16" i="8"/>
  <c r="L69" i="8" l="1"/>
  <c r="V23" i="8"/>
  <c r="V22" i="8"/>
  <c r="M69" i="8"/>
  <c r="F37" i="8"/>
  <c r="M54" i="8"/>
  <c r="D37" i="8"/>
  <c r="L45" i="8"/>
  <c r="M45" i="8"/>
  <c r="L57" i="8"/>
  <c r="I32" i="8" l="1"/>
  <c r="I33" i="8" s="1"/>
  <c r="K32" i="8"/>
  <c r="K33" i="8" s="1"/>
  <c r="H32" i="8"/>
  <c r="H33" i="8" s="1"/>
  <c r="E32" i="8"/>
  <c r="J32" i="8"/>
  <c r="M57" i="8"/>
  <c r="F32" i="8"/>
  <c r="G32" i="8"/>
  <c r="L32" i="8"/>
  <c r="M32" i="8"/>
  <c r="D32" i="8"/>
  <c r="G33" i="8" l="1"/>
  <c r="F33" i="8"/>
  <c r="J33" i="8"/>
  <c r="M33" i="8"/>
  <c r="E33" i="8"/>
  <c r="D33" i="8"/>
  <c r="D34" i="8" s="1"/>
  <c r="L33" i="8"/>
  <c r="D68" i="8" l="1"/>
  <c r="D71" i="8" s="1"/>
  <c r="D72" i="8" s="1"/>
  <c r="D73" i="8" s="1"/>
  <c r="D56" i="8"/>
  <c r="D59" i="8" s="1"/>
  <c r="D60" i="8" s="1"/>
  <c r="D61" i="8" s="1"/>
  <c r="D62" i="8" s="1"/>
  <c r="D63" i="8" s="1"/>
  <c r="D44" i="8"/>
  <c r="D47" i="8" s="1"/>
  <c r="D48" i="8" s="1"/>
  <c r="D49" i="8" s="1"/>
  <c r="D50" i="8" s="1"/>
  <c r="D51" i="8" s="1"/>
  <c r="E34" i="8"/>
  <c r="F34" i="8" s="1"/>
  <c r="F56" i="8" l="1"/>
  <c r="F59" i="8" s="1"/>
  <c r="F60" i="8" s="1"/>
  <c r="F61" i="8" s="1"/>
  <c r="F62" i="8" s="1"/>
  <c r="F63" i="8" s="1"/>
  <c r="F44" i="8"/>
  <c r="F47" i="8" s="1"/>
  <c r="F48" i="8" s="1"/>
  <c r="F49" i="8" s="1"/>
  <c r="F50" i="8" s="1"/>
  <c r="F51" i="8" s="1"/>
  <c r="F68" i="8"/>
  <c r="F71" i="8" s="1"/>
  <c r="F72" i="8" s="1"/>
  <c r="F73" i="8" s="1"/>
  <c r="G34" i="8"/>
  <c r="E68" i="8"/>
  <c r="E71" i="8" s="1"/>
  <c r="E72" i="8" s="1"/>
  <c r="E73" i="8" s="1"/>
  <c r="E56" i="8"/>
  <c r="E59" i="8" s="1"/>
  <c r="E60" i="8" s="1"/>
  <c r="E61" i="8" s="1"/>
  <c r="E62" i="8" s="1"/>
  <c r="E63" i="8" s="1"/>
  <c r="E44" i="8"/>
  <c r="E47" i="8" s="1"/>
  <c r="E48" i="8" s="1"/>
  <c r="E49" i="8" s="1"/>
  <c r="E50" i="8" s="1"/>
  <c r="E51" i="8" s="1"/>
  <c r="D74" i="8"/>
  <c r="D75" i="8" s="1"/>
  <c r="D79" i="8"/>
  <c r="D80" i="8" s="1"/>
  <c r="D81" i="8" s="1"/>
  <c r="D9" i="8" s="1"/>
  <c r="E74" i="8" l="1"/>
  <c r="E75" i="8" s="1"/>
  <c r="E79" i="8"/>
  <c r="E80" i="8" s="1"/>
  <c r="E81" i="8" s="1"/>
  <c r="E9" i="8" s="1"/>
  <c r="G68" i="8"/>
  <c r="G71" i="8" s="1"/>
  <c r="G72" i="8" s="1"/>
  <c r="G73" i="8" s="1"/>
  <c r="G44" i="8"/>
  <c r="G47" i="8" s="1"/>
  <c r="G48" i="8" s="1"/>
  <c r="G49" i="8" s="1"/>
  <c r="G50" i="8" s="1"/>
  <c r="G51" i="8" s="1"/>
  <c r="G56" i="8"/>
  <c r="G59" i="8" s="1"/>
  <c r="G60" i="8" s="1"/>
  <c r="G61" i="8" s="1"/>
  <c r="G62" i="8" s="1"/>
  <c r="G63" i="8" s="1"/>
  <c r="H34" i="8"/>
  <c r="F79" i="8"/>
  <c r="F80" i="8" s="1"/>
  <c r="F81" i="8" s="1"/>
  <c r="F9" i="8" s="1"/>
  <c r="F74" i="8"/>
  <c r="F75" i="8" s="1"/>
  <c r="H56" i="8" l="1"/>
  <c r="H59" i="8" s="1"/>
  <c r="H60" i="8" s="1"/>
  <c r="H61" i="8" s="1"/>
  <c r="H62" i="8" s="1"/>
  <c r="H63" i="8" s="1"/>
  <c r="H68" i="8"/>
  <c r="H71" i="8" s="1"/>
  <c r="H72" i="8" s="1"/>
  <c r="H73" i="8" s="1"/>
  <c r="H44" i="8"/>
  <c r="H47" i="8" s="1"/>
  <c r="H48" i="8" s="1"/>
  <c r="H49" i="8" s="1"/>
  <c r="H50" i="8" s="1"/>
  <c r="H51" i="8" s="1"/>
  <c r="I34" i="8"/>
  <c r="G79" i="8"/>
  <c r="G80" i="8" s="1"/>
  <c r="G81" i="8" s="1"/>
  <c r="G9" i="8" s="1"/>
  <c r="G74" i="8"/>
  <c r="G75" i="8" s="1"/>
  <c r="I44" i="8" l="1"/>
  <c r="I47" i="8" s="1"/>
  <c r="I48" i="8" s="1"/>
  <c r="I49" i="8" s="1"/>
  <c r="I50" i="8" s="1"/>
  <c r="I51" i="8" s="1"/>
  <c r="I56" i="8"/>
  <c r="I59" i="8" s="1"/>
  <c r="I60" i="8" s="1"/>
  <c r="I61" i="8" s="1"/>
  <c r="I62" i="8" s="1"/>
  <c r="I63" i="8" s="1"/>
  <c r="I68" i="8"/>
  <c r="I71" i="8" s="1"/>
  <c r="I72" i="8" s="1"/>
  <c r="I73" i="8" s="1"/>
  <c r="J34" i="8"/>
  <c r="H79" i="8"/>
  <c r="H80" i="8" s="1"/>
  <c r="H81" i="8" s="1"/>
  <c r="H9" i="8" s="1"/>
  <c r="H74" i="8"/>
  <c r="H75" i="8" s="1"/>
  <c r="I79" i="8" l="1"/>
  <c r="I80" i="8" s="1"/>
  <c r="I81" i="8" s="1"/>
  <c r="I9" i="8" s="1"/>
  <c r="I74" i="8"/>
  <c r="I75" i="8" s="1"/>
  <c r="J56" i="8"/>
  <c r="J59" i="8" s="1"/>
  <c r="J60" i="8" s="1"/>
  <c r="J61" i="8" s="1"/>
  <c r="J62" i="8" s="1"/>
  <c r="J63" i="8" s="1"/>
  <c r="J44" i="8"/>
  <c r="J47" i="8" s="1"/>
  <c r="J48" i="8" s="1"/>
  <c r="J49" i="8" s="1"/>
  <c r="J50" i="8" s="1"/>
  <c r="J51" i="8" s="1"/>
  <c r="J68" i="8"/>
  <c r="J71" i="8" s="1"/>
  <c r="J72" i="8" s="1"/>
  <c r="J73" i="8" s="1"/>
  <c r="K34" i="8"/>
  <c r="K44" i="8" l="1"/>
  <c r="K47" i="8" s="1"/>
  <c r="K48" i="8" s="1"/>
  <c r="K49" i="8" s="1"/>
  <c r="K50" i="8" s="1"/>
  <c r="K51" i="8" s="1"/>
  <c r="K68" i="8"/>
  <c r="K71" i="8" s="1"/>
  <c r="K72" i="8" s="1"/>
  <c r="K73" i="8" s="1"/>
  <c r="K56" i="8"/>
  <c r="K59" i="8" s="1"/>
  <c r="K60" i="8" s="1"/>
  <c r="K61" i="8" s="1"/>
  <c r="K62" i="8" s="1"/>
  <c r="K63" i="8" s="1"/>
  <c r="L34" i="8"/>
  <c r="J74" i="8"/>
  <c r="J75" i="8" s="1"/>
  <c r="J79" i="8"/>
  <c r="J80" i="8" s="1"/>
  <c r="J81" i="8" s="1"/>
  <c r="J9" i="8" s="1"/>
  <c r="K74" i="8" l="1"/>
  <c r="K75" i="8" s="1"/>
  <c r="K79" i="8"/>
  <c r="K80" i="8" s="1"/>
  <c r="K81" i="8" s="1"/>
  <c r="K9" i="8" s="1"/>
  <c r="L68" i="8"/>
  <c r="L71" i="8" s="1"/>
  <c r="L72" i="8" s="1"/>
  <c r="L73" i="8" s="1"/>
  <c r="L56" i="8"/>
  <c r="L59" i="8" s="1"/>
  <c r="L60" i="8" s="1"/>
  <c r="L61" i="8" s="1"/>
  <c r="L62" i="8" s="1"/>
  <c r="L63" i="8" s="1"/>
  <c r="L44" i="8"/>
  <c r="L47" i="8" s="1"/>
  <c r="L48" i="8" s="1"/>
  <c r="L49" i="8" s="1"/>
  <c r="L50" i="8" s="1"/>
  <c r="L51" i="8" s="1"/>
  <c r="M34" i="8"/>
  <c r="M68" i="8" l="1"/>
  <c r="M71" i="8" s="1"/>
  <c r="M72" i="8" s="1"/>
  <c r="M73" i="8" s="1"/>
  <c r="M44" i="8"/>
  <c r="M47" i="8" s="1"/>
  <c r="M48" i="8" s="1"/>
  <c r="M49" i="8" s="1"/>
  <c r="M50" i="8" s="1"/>
  <c r="M51" i="8" s="1"/>
  <c r="M56" i="8"/>
  <c r="M59" i="8" s="1"/>
  <c r="M60" i="8" s="1"/>
  <c r="M61" i="8" s="1"/>
  <c r="M62" i="8" s="1"/>
  <c r="M63" i="8" s="1"/>
  <c r="L79" i="8"/>
  <c r="L80" i="8" s="1"/>
  <c r="L81" i="8" s="1"/>
  <c r="L9" i="8" s="1"/>
  <c r="L74" i="8"/>
  <c r="L75" i="8" s="1"/>
  <c r="M79" i="8" l="1"/>
  <c r="M74" i="8"/>
  <c r="M75" i="8" s="1"/>
  <c r="M83" i="8" l="1"/>
  <c r="Q19" i="8" s="1"/>
  <c r="D17" i="8" s="1"/>
  <c r="M80" i="8"/>
  <c r="M81" i="8" s="1"/>
  <c r="M9" i="8" s="1"/>
  <c r="Q13" i="8" s="1"/>
  <c r="G18" i="8" l="1"/>
  <c r="G17" i="8"/>
  <c r="G16" i="8"/>
  <c r="G12" i="8"/>
  <c r="G15" i="8"/>
  <c r="D12" i="8"/>
</calcChain>
</file>

<file path=xl/sharedStrings.xml><?xml version="1.0" encoding="utf-8"?>
<sst xmlns="http://schemas.openxmlformats.org/spreadsheetml/2006/main" count="62" uniqueCount="42">
  <si>
    <t>Build Your Own Carbon Tax</t>
  </si>
  <si>
    <t>Committee for a Responsible Federal Budget</t>
  </si>
  <si>
    <t xml:space="preserve">    Per Metric Ton Carbon Tax</t>
  </si>
  <si>
    <t xml:space="preserve">    Year of Full Phase In</t>
  </si>
  <si>
    <t xml:space="preserve">    Real Growth After Phase In</t>
  </si>
  <si>
    <t>Revenue Generated (CY)</t>
  </si>
  <si>
    <t>Revenue (FY23-FY32):</t>
  </si>
  <si>
    <t>Extension Error</t>
  </si>
  <si>
    <t>Phase-Out Code</t>
  </si>
  <si>
    <t>https://twitter.com/intent/tweet?text=I%20just%20designed%20my%20own%20$</t>
  </si>
  <si>
    <t xml:space="preserve">2032 Emissions Cut: </t>
  </si>
  <si>
    <t>%20Child%20Tax%20Credit%20for%20$</t>
  </si>
  <si>
    <t xml:space="preserve">Contact us with questions or concerns at https://www.crfb.org/contact. </t>
  </si>
  <si>
    <r>
      <t xml:space="preserve">Data for model is based on CBO's July 2021 baseline and aims to approximate the methology developed and explained in </t>
    </r>
    <r>
      <rPr>
        <b/>
        <i/>
        <sz val="10"/>
        <color theme="0"/>
        <rFont val="Calibri"/>
        <family val="2"/>
        <scheme val="minor"/>
      </rPr>
      <t>"How Carbon Dioxide Emissions Would Respond to a Tax or Allowance Price: An Update: Working Paper 2021-16"</t>
    </r>
  </si>
  <si>
    <t>Modeling</t>
  </si>
  <si>
    <t>Size of Carbon Tax</t>
  </si>
  <si>
    <t>Initial Tax</t>
  </si>
  <si>
    <t>Phase In</t>
  </si>
  <si>
    <t>Phased In Tax</t>
  </si>
  <si>
    <t>Full Tax</t>
  </si>
  <si>
    <t>Extra Math</t>
  </si>
  <si>
    <t>Phase In Pace (inverse)</t>
  </si>
  <si>
    <t>Inflation Rate</t>
  </si>
  <si>
    <t>Growth Rate</t>
  </si>
  <si>
    <t>Electricity</t>
  </si>
  <si>
    <t>Baseline Tons</t>
  </si>
  <si>
    <t>Baseline Price</t>
  </si>
  <si>
    <t>New Price</t>
  </si>
  <si>
    <t>-LN(EmisB)'</t>
  </si>
  <si>
    <t>Price Sensitivity</t>
  </si>
  <si>
    <t>LN(Phike)</t>
  </si>
  <si>
    <t>LN(EmisP)</t>
  </si>
  <si>
    <t>Total Emiss</t>
  </si>
  <si>
    <t>Cut</t>
  </si>
  <si>
    <t>% Cut</t>
  </si>
  <si>
    <t>Transportation</t>
  </si>
  <si>
    <t>Other</t>
  </si>
  <si>
    <t>Results</t>
  </si>
  <si>
    <t>Total Emissions</t>
  </si>
  <si>
    <t>Gross Revenue</t>
  </si>
  <si>
    <t>Net Revenue</t>
  </si>
  <si>
    <r>
      <t xml:space="preserve">Note: This model is intended to provide </t>
    </r>
    <r>
      <rPr>
        <b/>
        <u/>
        <sz val="10"/>
        <color theme="0"/>
        <rFont val="Calibri"/>
        <family val="2"/>
        <scheme val="minor"/>
      </rPr>
      <t>rough estimates</t>
    </r>
    <r>
      <rPr>
        <b/>
        <sz val="10"/>
        <color theme="0"/>
        <rFont val="Calibri"/>
        <family val="2"/>
        <scheme val="minor"/>
      </rPr>
      <t xml:space="preserve"> of revenue from a carbon tax, which could differ based on details and assumptions.
Revenue is inclusive of offsetting effects. Phase-in is assumed to be linear in nominal dollars.
"Real Growth After Phase In" refers to the real growth rate of the carbon tax after full phase 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</si>
</sst>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  <numFmt numFmtId="166" formatCode="&quot;$&quot;#,##0.0"/>
    <numFmt numFmtId="167" formatCode="&quot;$&quot;#,##0"/>
    <numFmt numFmtId="168" formatCode="0.0000"/>
    <numFmt numFmtId="169" formatCode="0.000"/>
    <numFmt numFmtId="170" formatCode="0.0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u/>
      <sz val="12"/>
      <color theme="10"/>
      <name val="Arial"/>
      <family val="2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1"/>
      <color indexed="8"/>
      <name val="Calibri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2"/>
      <name val="Times New Roman"/>
      <family val="1"/>
    </font>
    <font>
      <sz val="10"/>
      <name val="MS Sans Serif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8"/>
      <color theme="3"/>
      <name val="Calibri Light"/>
      <family val="2"/>
      <scheme val="major"/>
    </font>
    <font>
      <sz val="10"/>
      <name val="P-TIMES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3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0"/>
      <color theme="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EE3224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347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328">
    <xf numFmtId="0" fontId="0" fillId="0" borderId="0"/>
    <xf numFmtId="9" fontId="1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7" fillId="0" borderId="0"/>
    <xf numFmtId="0" fontId="7" fillId="0" borderId="0"/>
    <xf numFmtId="0" fontId="35" fillId="0" borderId="0" applyNumberForma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1" fillId="0" borderId="0"/>
    <xf numFmtId="0" fontId="5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3" borderId="0" applyNumberFormat="0" applyBorder="0" applyAlignment="0" applyProtection="0"/>
    <xf numFmtId="0" fontId="15" fillId="6" borderId="4" applyNumberFormat="0" applyAlignment="0" applyProtection="0"/>
    <xf numFmtId="0" fontId="16" fillId="7" borderId="7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0" borderId="1" applyNumberFormat="0" applyFill="0" applyAlignment="0" applyProtection="0"/>
    <xf numFmtId="0" fontId="21" fillId="0" borderId="2" applyNumberFormat="0" applyFill="0" applyAlignment="0" applyProtection="0"/>
    <xf numFmtId="0" fontId="22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23" fillId="5" borderId="4" applyNumberFormat="0" applyAlignment="0" applyProtection="0"/>
    <xf numFmtId="0" fontId="24" fillId="0" borderId="6" applyNumberFormat="0" applyFill="0" applyAlignment="0" applyProtection="0"/>
    <xf numFmtId="0" fontId="25" fillId="4" borderId="0" applyNumberFormat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2" fillId="8" borderId="8" applyNumberFormat="0" applyFont="0" applyAlignment="0" applyProtection="0"/>
    <xf numFmtId="0" fontId="28" fillId="6" borderId="5" applyNumberForma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6" fillId="0" borderId="0"/>
    <xf numFmtId="0" fontId="8" fillId="0" borderId="0" applyNumberFormat="0" applyFill="0" applyBorder="0" applyAlignment="0" applyProtection="0"/>
    <xf numFmtId="0" fontId="1" fillId="0" borderId="0"/>
    <xf numFmtId="0" fontId="31" fillId="0" borderId="0" applyNumberFormat="0" applyFill="0" applyBorder="0" applyAlignment="0" applyProtection="0"/>
    <xf numFmtId="0" fontId="32" fillId="0" borderId="0"/>
    <xf numFmtId="0" fontId="12" fillId="0" borderId="0"/>
    <xf numFmtId="0" fontId="6" fillId="0" borderId="0"/>
    <xf numFmtId="0" fontId="12" fillId="8" borderId="8" applyNumberFormat="0" applyFont="0" applyAlignment="0" applyProtection="0"/>
    <xf numFmtId="44" fontId="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6" fillId="0" borderId="0"/>
    <xf numFmtId="0" fontId="1" fillId="0" borderId="0"/>
    <xf numFmtId="0" fontId="34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6" fontId="3" fillId="33" borderId="0" xfId="0" applyNumberFormat="1" applyFont="1" applyFill="1" applyAlignment="1">
      <alignment horizontal="center"/>
    </xf>
    <xf numFmtId="0" fontId="0" fillId="33" borderId="0" xfId="0" applyFill="1"/>
    <xf numFmtId="0" fontId="3" fillId="33" borderId="0" xfId="0" applyFont="1" applyFill="1" applyAlignment="1">
      <alignment horizontal="center"/>
    </xf>
    <xf numFmtId="0" fontId="38" fillId="33" borderId="0" xfId="0" applyFont="1" applyFill="1"/>
    <xf numFmtId="0" fontId="37" fillId="33" borderId="0" xfId="0" applyFont="1" applyFill="1"/>
    <xf numFmtId="0" fontId="40" fillId="33" borderId="0" xfId="0" applyFont="1" applyFill="1"/>
    <xf numFmtId="167" fontId="45" fillId="34" borderId="11" xfId="0" applyNumberFormat="1" applyFont="1" applyFill="1" applyBorder="1" applyAlignment="1">
      <alignment horizontal="center"/>
    </xf>
    <xf numFmtId="0" fontId="41" fillId="33" borderId="0" xfId="0" applyFont="1" applyFill="1" applyAlignment="1">
      <alignment wrapText="1"/>
    </xf>
    <xf numFmtId="9" fontId="45" fillId="34" borderId="11" xfId="1" applyFont="1" applyFill="1" applyBorder="1" applyAlignment="1">
      <alignment horizontal="center"/>
    </xf>
    <xf numFmtId="0" fontId="0" fillId="33" borderId="0" xfId="0" applyFill="1" applyAlignment="1">
      <alignment horizontal="center"/>
    </xf>
    <xf numFmtId="0" fontId="42" fillId="33" borderId="0" xfId="0" applyFont="1" applyFill="1" applyAlignment="1">
      <alignment horizontal="center"/>
    </xf>
    <xf numFmtId="167" fontId="43" fillId="33" borderId="0" xfId="0" applyNumberFormat="1" applyFont="1" applyFill="1" applyAlignment="1">
      <alignment horizontal="center"/>
    </xf>
    <xf numFmtId="0" fontId="2" fillId="33" borderId="0" xfId="0" applyFont="1" applyFill="1"/>
    <xf numFmtId="0" fontId="38" fillId="34" borderId="0" xfId="0" applyFont="1" applyFill="1"/>
    <xf numFmtId="0" fontId="2" fillId="34" borderId="0" xfId="0" applyFont="1" applyFill="1"/>
    <xf numFmtId="0" fontId="0" fillId="34" borderId="0" xfId="0" applyFill="1"/>
    <xf numFmtId="0" fontId="37" fillId="34" borderId="0" xfId="0" applyFont="1" applyFill="1"/>
    <xf numFmtId="0" fontId="43" fillId="34" borderId="0" xfId="0" applyFont="1" applyFill="1"/>
    <xf numFmtId="0" fontId="36" fillId="34" borderId="0" xfId="0" applyFont="1" applyFill="1"/>
    <xf numFmtId="0" fontId="35" fillId="34" borderId="0" xfId="6" applyFill="1"/>
    <xf numFmtId="0" fontId="6" fillId="34" borderId="0" xfId="6" applyFont="1" applyFill="1" applyAlignment="1">
      <alignment vertical="top"/>
    </xf>
    <xf numFmtId="6" fontId="0" fillId="34" borderId="0" xfId="0" applyNumberFormat="1" applyFill="1"/>
    <xf numFmtId="9" fontId="0" fillId="34" borderId="0" xfId="0" applyNumberFormat="1" applyFill="1"/>
    <xf numFmtId="0" fontId="41" fillId="34" borderId="0" xfId="0" applyFont="1" applyFill="1" applyAlignment="1">
      <alignment wrapText="1"/>
    </xf>
    <xf numFmtId="0" fontId="43" fillId="34" borderId="0" xfId="0" applyFont="1" applyFill="1" applyAlignment="1">
      <alignment horizontal="center"/>
    </xf>
    <xf numFmtId="0" fontId="37" fillId="34" borderId="0" xfId="0" applyFont="1" applyFill="1" applyAlignment="1">
      <alignment horizontal="center"/>
    </xf>
    <xf numFmtId="0" fontId="48" fillId="34" borderId="0" xfId="0" applyFont="1" applyFill="1"/>
    <xf numFmtId="166" fontId="2" fillId="34" borderId="0" xfId="0" applyNumberFormat="1" applyFont="1" applyFill="1"/>
    <xf numFmtId="0" fontId="50" fillId="34" borderId="0" xfId="0" applyFont="1" applyFill="1"/>
    <xf numFmtId="167" fontId="2" fillId="34" borderId="0" xfId="0" applyNumberFormat="1" applyFont="1" applyFill="1"/>
    <xf numFmtId="0" fontId="49" fillId="34" borderId="0" xfId="0" applyFont="1" applyFill="1"/>
    <xf numFmtId="1" fontId="2" fillId="34" borderId="0" xfId="0" applyNumberFormat="1" applyFont="1" applyFill="1" applyAlignment="1">
      <alignment horizontal="center"/>
    </xf>
    <xf numFmtId="167" fontId="2" fillId="34" borderId="0" xfId="0" applyNumberFormat="1" applyFont="1" applyFill="1" applyAlignment="1">
      <alignment horizontal="center"/>
    </xf>
    <xf numFmtId="0" fontId="2" fillId="34" borderId="0" xfId="0" applyFont="1" applyFill="1" applyAlignment="1">
      <alignment horizontal="center"/>
    </xf>
    <xf numFmtId="0" fontId="49" fillId="34" borderId="0" xfId="0" applyFont="1" applyFill="1" applyAlignment="1">
      <alignment horizontal="center"/>
    </xf>
    <xf numFmtId="170" fontId="49" fillId="34" borderId="0" xfId="0" applyNumberFormat="1" applyFont="1" applyFill="1" applyAlignment="1">
      <alignment horizontal="center"/>
    </xf>
    <xf numFmtId="2" fontId="0" fillId="34" borderId="0" xfId="0" applyNumberFormat="1" applyFill="1" applyAlignment="1">
      <alignment horizontal="center"/>
    </xf>
    <xf numFmtId="168" fontId="2" fillId="34" borderId="0" xfId="0" applyNumberFormat="1" applyFont="1" applyFill="1"/>
    <xf numFmtId="165" fontId="2" fillId="34" borderId="0" xfId="0" applyNumberFormat="1" applyFont="1" applyFill="1"/>
    <xf numFmtId="164" fontId="2" fillId="34" borderId="0" xfId="1" applyNumberFormat="1" applyFont="1" applyFill="1" applyAlignment="1">
      <alignment horizontal="center"/>
    </xf>
    <xf numFmtId="166" fontId="43" fillId="34" borderId="0" xfId="0" applyNumberFormat="1" applyFont="1" applyFill="1"/>
    <xf numFmtId="10" fontId="2" fillId="34" borderId="0" xfId="0" applyNumberFormat="1" applyFont="1" applyFill="1"/>
    <xf numFmtId="10" fontId="2" fillId="34" borderId="0" xfId="1" applyNumberFormat="1" applyFont="1" applyFill="1"/>
    <xf numFmtId="169" fontId="2" fillId="34" borderId="0" xfId="0" applyNumberFormat="1" applyFont="1" applyFill="1" applyAlignment="1">
      <alignment horizontal="center"/>
    </xf>
    <xf numFmtId="0" fontId="2" fillId="34" borderId="0" xfId="0" quotePrefix="1" applyFont="1" applyFill="1"/>
    <xf numFmtId="2" fontId="2" fillId="34" borderId="0" xfId="0" applyNumberFormat="1" applyFont="1" applyFill="1" applyAlignment="1">
      <alignment horizontal="center"/>
    </xf>
    <xf numFmtId="167" fontId="37" fillId="34" borderId="0" xfId="0" applyNumberFormat="1" applyFont="1" applyFill="1" applyAlignment="1">
      <alignment horizontal="center"/>
    </xf>
    <xf numFmtId="4" fontId="2" fillId="34" borderId="0" xfId="0" applyNumberFormat="1" applyFont="1" applyFill="1" applyAlignment="1">
      <alignment horizontal="center"/>
    </xf>
    <xf numFmtId="169" fontId="2" fillId="34" borderId="0" xfId="327" applyNumberFormat="1" applyFont="1" applyFill="1" applyAlignment="1">
      <alignment horizontal="center"/>
    </xf>
    <xf numFmtId="9" fontId="2" fillId="34" borderId="0" xfId="0" applyNumberFormat="1" applyFont="1" applyFill="1" applyAlignment="1">
      <alignment horizontal="center"/>
    </xf>
    <xf numFmtId="164" fontId="2" fillId="34" borderId="0" xfId="0" applyNumberFormat="1" applyFont="1" applyFill="1" applyAlignment="1">
      <alignment horizontal="center"/>
    </xf>
    <xf numFmtId="2" fontId="51" fillId="34" borderId="0" xfId="0" applyNumberFormat="1" applyFont="1" applyFill="1" applyAlignment="1">
      <alignment horizontal="center"/>
    </xf>
    <xf numFmtId="2" fontId="4" fillId="34" borderId="0" xfId="0" applyNumberFormat="1" applyFont="1" applyFill="1" applyAlignment="1">
      <alignment horizontal="center"/>
    </xf>
    <xf numFmtId="164" fontId="2" fillId="34" borderId="0" xfId="1" applyNumberFormat="1" applyFont="1" applyFill="1"/>
    <xf numFmtId="169" fontId="38" fillId="34" borderId="0" xfId="0" applyNumberFormat="1" applyFont="1" applyFill="1"/>
    <xf numFmtId="165" fontId="0" fillId="34" borderId="0" xfId="0" applyNumberFormat="1" applyFill="1"/>
    <xf numFmtId="0" fontId="38" fillId="35" borderId="0" xfId="0" applyFont="1" applyFill="1"/>
    <xf numFmtId="0" fontId="42" fillId="35" borderId="0" xfId="0" applyFont="1" applyFill="1" applyAlignment="1">
      <alignment horizontal="center"/>
    </xf>
    <xf numFmtId="0" fontId="13" fillId="35" borderId="0" xfId="6" applyFont="1" applyFill="1" applyAlignment="1">
      <alignment vertical="top"/>
    </xf>
    <xf numFmtId="0" fontId="44" fillId="35" borderId="0" xfId="0" applyFont="1" applyFill="1" applyAlignment="1">
      <alignment horizontal="center"/>
    </xf>
    <xf numFmtId="167" fontId="53" fillId="35" borderId="0" xfId="0" applyNumberFormat="1" applyFont="1" applyFill="1" applyAlignment="1">
      <alignment horizontal="center"/>
    </xf>
    <xf numFmtId="167" fontId="36" fillId="35" borderId="0" xfId="0" applyNumberFormat="1" applyFont="1" applyFill="1" applyAlignment="1">
      <alignment horizontal="center"/>
    </xf>
    <xf numFmtId="0" fontId="55" fillId="34" borderId="0" xfId="0" applyFont="1" applyFill="1"/>
    <xf numFmtId="6" fontId="57" fillId="34" borderId="10" xfId="0" applyNumberFormat="1" applyFont="1" applyFill="1" applyBorder="1" applyAlignment="1" applyProtection="1">
      <alignment horizontal="center"/>
      <protection locked="0"/>
    </xf>
    <xf numFmtId="1" fontId="57" fillId="34" borderId="10" xfId="0" applyNumberFormat="1" applyFont="1" applyFill="1" applyBorder="1" applyAlignment="1" applyProtection="1">
      <alignment horizontal="center"/>
      <protection locked="0"/>
    </xf>
    <xf numFmtId="9" fontId="57" fillId="34" borderId="10" xfId="0" applyNumberFormat="1" applyFont="1" applyFill="1" applyBorder="1" applyAlignment="1" applyProtection="1">
      <alignment horizontal="center"/>
      <protection locked="0"/>
    </xf>
    <xf numFmtId="0" fontId="39" fillId="33" borderId="0" xfId="0" applyFont="1" applyFill="1" applyAlignment="1">
      <alignment horizontal="center"/>
    </xf>
    <xf numFmtId="0" fontId="16" fillId="33" borderId="0" xfId="6" applyFont="1" applyFill="1" applyAlignment="1" applyProtection="1">
      <alignment horizontal="center"/>
      <protection locked="0"/>
    </xf>
    <xf numFmtId="0" fontId="43" fillId="33" borderId="0" xfId="0" applyFont="1" applyFill="1" applyAlignment="1">
      <alignment horizontal="center"/>
    </xf>
    <xf numFmtId="0" fontId="40" fillId="33" borderId="0" xfId="0" applyFont="1" applyFill="1" applyAlignment="1">
      <alignment horizontal="center"/>
    </xf>
    <xf numFmtId="0" fontId="40" fillId="33" borderId="12" xfId="0" applyFont="1" applyFill="1" applyBorder="1" applyAlignment="1">
      <alignment horizontal="center"/>
    </xf>
    <xf numFmtId="0" fontId="40" fillId="33" borderId="13" xfId="0" applyFont="1" applyFill="1" applyBorder="1" applyAlignment="1">
      <alignment horizontal="center"/>
    </xf>
    <xf numFmtId="0" fontId="44" fillId="35" borderId="0" xfId="0" applyFont="1" applyFill="1" applyAlignment="1">
      <alignment horizontal="center" vertical="center"/>
    </xf>
    <xf numFmtId="0" fontId="46" fillId="33" borderId="0" xfId="0" applyFont="1" applyFill="1" applyAlignment="1">
      <alignment horizontal="left" wrapText="1"/>
    </xf>
    <xf numFmtId="0" fontId="46" fillId="33" borderId="0" xfId="0" applyFont="1" applyFill="1" applyAlignment="1">
      <alignment horizontal="left"/>
    </xf>
    <xf numFmtId="0" fontId="46" fillId="33" borderId="0" xfId="0" applyFont="1" applyFill="1" applyAlignment="1" applyProtection="1">
      <alignment horizontal="left" wrapText="1"/>
      <protection locked="0"/>
    </xf>
    <xf numFmtId="0" fontId="52" fillId="35" borderId="0" xfId="0" applyFont="1" applyFill="1" applyAlignment="1">
      <alignment horizontal="right" vertical="center"/>
    </xf>
    <xf numFmtId="4" fontId="56" fillId="35" borderId="0" xfId="0" applyNumberFormat="1" applyFont="1" applyFill="1" applyAlignment="1">
      <alignment horizontal="left" vertical="center"/>
    </xf>
    <xf numFmtId="0" fontId="56" fillId="35" borderId="0" xfId="0" applyFont="1" applyFill="1" applyAlignment="1">
      <alignment horizontal="left" vertical="center"/>
    </xf>
    <xf numFmtId="0" fontId="52" fillId="35" borderId="0" xfId="0" applyFont="1" applyFill="1" applyAlignment="1">
      <alignment horizontal="center" vertical="center"/>
    </xf>
    <xf numFmtId="0" fontId="44" fillId="35" borderId="0" xfId="0" applyFont="1" applyFill="1" applyAlignment="1">
      <alignment horizontal="left" indent="2"/>
    </xf>
    <xf numFmtId="0" fontId="44" fillId="35" borderId="0" xfId="6" applyFont="1" applyFill="1" applyAlignment="1">
      <alignment horizontal="left" vertical="top" indent="2"/>
    </xf>
    <xf numFmtId="0" fontId="46" fillId="33" borderId="0" xfId="0" applyFont="1" applyFill="1" applyAlignment="1" applyProtection="1">
      <alignment horizontal="left"/>
      <protection locked="0"/>
    </xf>
  </cellXfs>
  <cellStyles count="328">
    <cellStyle name="20% - Accent1 2" xfId="192" xr:uid="{00000000-0005-0000-0000-000000000000}"/>
    <cellStyle name="20% - Accent2 2" xfId="193" xr:uid="{00000000-0005-0000-0000-000001000000}"/>
    <cellStyle name="20% - Accent3 2" xfId="194" xr:uid="{00000000-0005-0000-0000-000002000000}"/>
    <cellStyle name="20% - Accent4 2" xfId="195" xr:uid="{00000000-0005-0000-0000-000003000000}"/>
    <cellStyle name="20% - Accent5 2" xfId="196" xr:uid="{00000000-0005-0000-0000-000004000000}"/>
    <cellStyle name="20% - Accent6 2" xfId="197" xr:uid="{00000000-0005-0000-0000-000005000000}"/>
    <cellStyle name="40% - Accent1 2" xfId="198" xr:uid="{00000000-0005-0000-0000-000006000000}"/>
    <cellStyle name="40% - Accent2 2" xfId="199" xr:uid="{00000000-0005-0000-0000-000007000000}"/>
    <cellStyle name="40% - Accent3 2" xfId="200" xr:uid="{00000000-0005-0000-0000-000008000000}"/>
    <cellStyle name="40% - Accent4 2" xfId="201" xr:uid="{00000000-0005-0000-0000-000009000000}"/>
    <cellStyle name="40% - Accent5 2" xfId="202" xr:uid="{00000000-0005-0000-0000-00000A000000}"/>
    <cellStyle name="40% - Accent6 2" xfId="203" xr:uid="{00000000-0005-0000-0000-00000B000000}"/>
    <cellStyle name="60% - Accent1 2" xfId="204" xr:uid="{00000000-0005-0000-0000-00000C000000}"/>
    <cellStyle name="60% - Accent2 2" xfId="205" xr:uid="{00000000-0005-0000-0000-00000D000000}"/>
    <cellStyle name="60% - Accent3 2" xfId="206" xr:uid="{00000000-0005-0000-0000-00000E000000}"/>
    <cellStyle name="60% - Accent4 2" xfId="207" xr:uid="{00000000-0005-0000-0000-00000F000000}"/>
    <cellStyle name="60% - Accent5 2" xfId="208" xr:uid="{00000000-0005-0000-0000-000010000000}"/>
    <cellStyle name="60% - Accent6 2" xfId="209" xr:uid="{00000000-0005-0000-0000-000011000000}"/>
    <cellStyle name="Accent1 2" xfId="210" xr:uid="{00000000-0005-0000-0000-000012000000}"/>
    <cellStyle name="Accent2 2" xfId="211" xr:uid="{00000000-0005-0000-0000-000013000000}"/>
    <cellStyle name="Accent3 2" xfId="212" xr:uid="{00000000-0005-0000-0000-000014000000}"/>
    <cellStyle name="Accent4 2" xfId="213" xr:uid="{00000000-0005-0000-0000-000015000000}"/>
    <cellStyle name="Accent5 2" xfId="214" xr:uid="{00000000-0005-0000-0000-000016000000}"/>
    <cellStyle name="Accent6 2" xfId="215" xr:uid="{00000000-0005-0000-0000-000017000000}"/>
    <cellStyle name="Bad 2" xfId="216" xr:uid="{00000000-0005-0000-0000-000018000000}"/>
    <cellStyle name="Calculation 2" xfId="217" xr:uid="{00000000-0005-0000-0000-000019000000}"/>
    <cellStyle name="Check Cell 2" xfId="218" xr:uid="{00000000-0005-0000-0000-00001A000000}"/>
    <cellStyle name="Comma" xfId="327" builtinId="3"/>
    <cellStyle name="Comma 2" xfId="3" xr:uid="{00000000-0005-0000-0000-00001B000000}"/>
    <cellStyle name="Comma 2 2" xfId="12" xr:uid="{00000000-0005-0000-0000-00001C000000}"/>
    <cellStyle name="Comma 2 3" xfId="219" xr:uid="{00000000-0005-0000-0000-00001D000000}"/>
    <cellStyle name="Comma 2 4" xfId="220" xr:uid="{00000000-0005-0000-0000-00001E000000}"/>
    <cellStyle name="Comma 2 5" xfId="221" xr:uid="{00000000-0005-0000-0000-00001F000000}"/>
    <cellStyle name="Comma 2 6" xfId="222" xr:uid="{00000000-0005-0000-0000-000020000000}"/>
    <cellStyle name="Comma 3" xfId="13" xr:uid="{00000000-0005-0000-0000-000021000000}"/>
    <cellStyle name="Comma 4" xfId="223" xr:uid="{00000000-0005-0000-0000-000022000000}"/>
    <cellStyle name="Comma 9" xfId="224" xr:uid="{00000000-0005-0000-0000-000023000000}"/>
    <cellStyle name="Comma0" xfId="225" xr:uid="{00000000-0005-0000-0000-000024000000}"/>
    <cellStyle name="Currency 2" xfId="226" xr:uid="{00000000-0005-0000-0000-000025000000}"/>
    <cellStyle name="Currency 3" xfId="227" xr:uid="{00000000-0005-0000-0000-000026000000}"/>
    <cellStyle name="Currency 4" xfId="321" xr:uid="{00000000-0005-0000-0000-000027000000}"/>
    <cellStyle name="Explanatory Text 2" xfId="228" xr:uid="{00000000-0005-0000-0000-000028000000}"/>
    <cellStyle name="Good 2" xfId="229" xr:uid="{00000000-0005-0000-0000-000029000000}"/>
    <cellStyle name="Heading 1 2" xfId="230" xr:uid="{00000000-0005-0000-0000-00002A000000}"/>
    <cellStyle name="Heading 2 2" xfId="231" xr:uid="{00000000-0005-0000-0000-00002B000000}"/>
    <cellStyle name="Heading 3 2" xfId="232" xr:uid="{00000000-0005-0000-0000-00002C000000}"/>
    <cellStyle name="Heading 4 2" xfId="233" xr:uid="{00000000-0005-0000-0000-00002D000000}"/>
    <cellStyle name="Hyperlink" xfId="6" builtinId="8" customBuiltin="1"/>
    <cellStyle name="Hyperlink 2" xfId="14" xr:uid="{00000000-0005-0000-0000-00002F000000}"/>
    <cellStyle name="Hyperlink 2 2" xfId="323" xr:uid="{00000000-0005-0000-0000-000030000000}"/>
    <cellStyle name="Hyperlink 3" xfId="16" xr:uid="{00000000-0005-0000-0000-000031000000}"/>
    <cellStyle name="Hyperlink 4" xfId="21" xr:uid="{00000000-0005-0000-0000-000032000000}"/>
    <cellStyle name="Hyperlink 5" xfId="314" xr:uid="{00000000-0005-0000-0000-000033000000}"/>
    <cellStyle name="Hyperlink 6" xfId="322" xr:uid="{00000000-0005-0000-0000-000034000000}"/>
    <cellStyle name="Input 2" xfId="234" xr:uid="{00000000-0005-0000-0000-000035000000}"/>
    <cellStyle name="Linked Cell 2" xfId="235" xr:uid="{00000000-0005-0000-0000-000036000000}"/>
    <cellStyle name="Neutral 2" xfId="236" xr:uid="{00000000-0005-0000-0000-000037000000}"/>
    <cellStyle name="Normal" xfId="0" builtinId="0"/>
    <cellStyle name="Normal 10" xfId="19" xr:uid="{00000000-0005-0000-0000-000039000000}"/>
    <cellStyle name="Normal 10 2" xfId="315" xr:uid="{00000000-0005-0000-0000-00003A000000}"/>
    <cellStyle name="Normal 11" xfId="237" xr:uid="{00000000-0005-0000-0000-00003B000000}"/>
    <cellStyle name="Normal 11 2" xfId="238" xr:uid="{00000000-0005-0000-0000-00003C000000}"/>
    <cellStyle name="Normal 11 3" xfId="239" xr:uid="{00000000-0005-0000-0000-00003D000000}"/>
    <cellStyle name="Normal 11 4" xfId="240" xr:uid="{00000000-0005-0000-0000-00003E000000}"/>
    <cellStyle name="Normal 12" xfId="241" xr:uid="{00000000-0005-0000-0000-00003F000000}"/>
    <cellStyle name="Normal 12 2" xfId="242" xr:uid="{00000000-0005-0000-0000-000040000000}"/>
    <cellStyle name="Normal 12 3" xfId="243" xr:uid="{00000000-0005-0000-0000-000041000000}"/>
    <cellStyle name="Normal 12 4" xfId="244" xr:uid="{00000000-0005-0000-0000-000042000000}"/>
    <cellStyle name="Normal 13" xfId="245" xr:uid="{00000000-0005-0000-0000-000043000000}"/>
    <cellStyle name="Normal 13 2" xfId="246" xr:uid="{00000000-0005-0000-0000-000044000000}"/>
    <cellStyle name="Normal 13 3" xfId="247" xr:uid="{00000000-0005-0000-0000-000045000000}"/>
    <cellStyle name="Normal 13 4" xfId="248" xr:uid="{00000000-0005-0000-0000-000046000000}"/>
    <cellStyle name="Normal 14" xfId="249" xr:uid="{00000000-0005-0000-0000-000047000000}"/>
    <cellStyle name="Normal 14 2" xfId="250" xr:uid="{00000000-0005-0000-0000-000048000000}"/>
    <cellStyle name="Normal 15" xfId="251" xr:uid="{00000000-0005-0000-0000-000049000000}"/>
    <cellStyle name="Normal 16" xfId="252" xr:uid="{00000000-0005-0000-0000-00004A000000}"/>
    <cellStyle name="Normal 17" xfId="253" xr:uid="{00000000-0005-0000-0000-00004B000000}"/>
    <cellStyle name="Normal 18" xfId="313" xr:uid="{00000000-0005-0000-0000-00004C000000}"/>
    <cellStyle name="Normal 18 2" xfId="324" xr:uid="{00000000-0005-0000-0000-00004D000000}"/>
    <cellStyle name="Normal 19" xfId="317" xr:uid="{00000000-0005-0000-0000-00004E000000}"/>
    <cellStyle name="Normal 19 2" xfId="325" xr:uid="{00000000-0005-0000-0000-00004F000000}"/>
    <cellStyle name="Normal 2" xfId="4" xr:uid="{00000000-0005-0000-0000-000050000000}"/>
    <cellStyle name="Normal 2 10" xfId="22" xr:uid="{00000000-0005-0000-0000-000051000000}"/>
    <cellStyle name="Normal 2 11" xfId="23" xr:uid="{00000000-0005-0000-0000-000052000000}"/>
    <cellStyle name="Normal 2 12" xfId="254" xr:uid="{00000000-0005-0000-0000-000053000000}"/>
    <cellStyle name="Normal 2 13" xfId="255" xr:uid="{00000000-0005-0000-0000-000054000000}"/>
    <cellStyle name="Normal 2 14" xfId="256" xr:uid="{00000000-0005-0000-0000-000055000000}"/>
    <cellStyle name="Normal 2 15" xfId="257" xr:uid="{00000000-0005-0000-0000-000056000000}"/>
    <cellStyle name="Normal 2 16" xfId="258" xr:uid="{00000000-0005-0000-0000-000057000000}"/>
    <cellStyle name="Normal 2 17" xfId="259" xr:uid="{00000000-0005-0000-0000-000058000000}"/>
    <cellStyle name="Normal 2 18" xfId="260" xr:uid="{00000000-0005-0000-0000-000059000000}"/>
    <cellStyle name="Normal 2 19" xfId="261" xr:uid="{00000000-0005-0000-0000-00005A000000}"/>
    <cellStyle name="Normal 2 2" xfId="8" xr:uid="{00000000-0005-0000-0000-00005B000000}"/>
    <cellStyle name="Normal 2 2 2" xfId="24" xr:uid="{00000000-0005-0000-0000-00005C000000}"/>
    <cellStyle name="Normal 2 2 2 2" xfId="25" xr:uid="{00000000-0005-0000-0000-00005D000000}"/>
    <cellStyle name="Normal 2 2 2 3" xfId="26" xr:uid="{00000000-0005-0000-0000-00005E000000}"/>
    <cellStyle name="Normal 2 2 3" xfId="27" xr:uid="{00000000-0005-0000-0000-00005F000000}"/>
    <cellStyle name="Normal 2 2 3 2" xfId="28" xr:uid="{00000000-0005-0000-0000-000060000000}"/>
    <cellStyle name="Normal 2 2 4" xfId="29" xr:uid="{00000000-0005-0000-0000-000061000000}"/>
    <cellStyle name="Normal 2 2 4 2" xfId="30" xr:uid="{00000000-0005-0000-0000-000062000000}"/>
    <cellStyle name="Normal 2 2 5" xfId="31" xr:uid="{00000000-0005-0000-0000-000063000000}"/>
    <cellStyle name="Normal 2 2 5 2" xfId="32" xr:uid="{00000000-0005-0000-0000-000064000000}"/>
    <cellStyle name="Normal 2 2 6" xfId="33" xr:uid="{00000000-0005-0000-0000-000065000000}"/>
    <cellStyle name="Normal 2 2 7" xfId="34" xr:uid="{00000000-0005-0000-0000-000066000000}"/>
    <cellStyle name="Normal 2 2 8" xfId="35" xr:uid="{00000000-0005-0000-0000-000067000000}"/>
    <cellStyle name="Normal 2 20" xfId="262" xr:uid="{00000000-0005-0000-0000-000068000000}"/>
    <cellStyle name="Normal 2 21" xfId="263" xr:uid="{00000000-0005-0000-0000-000069000000}"/>
    <cellStyle name="Normal 2 22" xfId="264" xr:uid="{00000000-0005-0000-0000-00006A000000}"/>
    <cellStyle name="Normal 2 23" xfId="265" xr:uid="{00000000-0005-0000-0000-00006B000000}"/>
    <cellStyle name="Normal 2 24" xfId="318" xr:uid="{00000000-0005-0000-0000-00006C000000}"/>
    <cellStyle name="Normal 2 3" xfId="10" xr:uid="{00000000-0005-0000-0000-00006D000000}"/>
    <cellStyle name="Normal 2 3 2" xfId="36" xr:uid="{00000000-0005-0000-0000-00006E000000}"/>
    <cellStyle name="Normal 2 3 2 2" xfId="37" xr:uid="{00000000-0005-0000-0000-00006F000000}"/>
    <cellStyle name="Normal 2 3 2 3" xfId="38" xr:uid="{00000000-0005-0000-0000-000070000000}"/>
    <cellStyle name="Normal 2 3 3" xfId="39" xr:uid="{00000000-0005-0000-0000-000071000000}"/>
    <cellStyle name="Normal 2 3 4" xfId="40" xr:uid="{00000000-0005-0000-0000-000072000000}"/>
    <cellStyle name="Normal 2 3 5" xfId="41" xr:uid="{00000000-0005-0000-0000-000073000000}"/>
    <cellStyle name="Normal 2 4" xfId="42" xr:uid="{00000000-0005-0000-0000-000074000000}"/>
    <cellStyle name="Normal 2 4 2" xfId="43" xr:uid="{00000000-0005-0000-0000-000075000000}"/>
    <cellStyle name="Normal 2 5" xfId="44" xr:uid="{00000000-0005-0000-0000-000076000000}"/>
    <cellStyle name="Normal 2 5 2" xfId="45" xr:uid="{00000000-0005-0000-0000-000077000000}"/>
    <cellStyle name="Normal 2 6" xfId="46" xr:uid="{00000000-0005-0000-0000-000078000000}"/>
    <cellStyle name="Normal 2 6 2" xfId="47" xr:uid="{00000000-0005-0000-0000-000079000000}"/>
    <cellStyle name="Normal 2 7" xfId="48" xr:uid="{00000000-0005-0000-0000-00007A000000}"/>
    <cellStyle name="Normal 2 7 2" xfId="49" xr:uid="{00000000-0005-0000-0000-00007B000000}"/>
    <cellStyle name="Normal 2 8" xfId="50" xr:uid="{00000000-0005-0000-0000-00007C000000}"/>
    <cellStyle name="Normal 2 8 2" xfId="51" xr:uid="{00000000-0005-0000-0000-00007D000000}"/>
    <cellStyle name="Normal 2 9" xfId="52" xr:uid="{00000000-0005-0000-0000-00007E000000}"/>
    <cellStyle name="Normal 20" xfId="319" xr:uid="{00000000-0005-0000-0000-00007F000000}"/>
    <cellStyle name="Normal 3" xfId="2" xr:uid="{00000000-0005-0000-0000-000080000000}"/>
    <cellStyle name="Normal 3 10" xfId="266" xr:uid="{00000000-0005-0000-0000-000081000000}"/>
    <cellStyle name="Normal 3 11" xfId="267" xr:uid="{00000000-0005-0000-0000-000082000000}"/>
    <cellStyle name="Normal 3 12" xfId="268" xr:uid="{00000000-0005-0000-0000-000083000000}"/>
    <cellStyle name="Normal 3 13" xfId="269" xr:uid="{00000000-0005-0000-0000-000084000000}"/>
    <cellStyle name="Normal 3 14" xfId="326" xr:uid="{00000000-0005-0000-0000-000085000000}"/>
    <cellStyle name="Normal 3 2" xfId="11" xr:uid="{00000000-0005-0000-0000-000086000000}"/>
    <cellStyle name="Normal 3 2 2" xfId="20" xr:uid="{00000000-0005-0000-0000-000087000000}"/>
    <cellStyle name="Normal 3 2 2 2" xfId="53" xr:uid="{00000000-0005-0000-0000-000088000000}"/>
    <cellStyle name="Normal 3 2 3" xfId="54" xr:uid="{00000000-0005-0000-0000-000089000000}"/>
    <cellStyle name="Normal 3 2 4" xfId="55" xr:uid="{00000000-0005-0000-0000-00008A000000}"/>
    <cellStyle name="Normal 3 3" xfId="56" xr:uid="{00000000-0005-0000-0000-00008B000000}"/>
    <cellStyle name="Normal 3 3 2" xfId="57" xr:uid="{00000000-0005-0000-0000-00008C000000}"/>
    <cellStyle name="Normal 3 3 3" xfId="58" xr:uid="{00000000-0005-0000-0000-00008D000000}"/>
    <cellStyle name="Normal 3 4" xfId="59" xr:uid="{00000000-0005-0000-0000-00008E000000}"/>
    <cellStyle name="Normal 3 4 2" xfId="60" xr:uid="{00000000-0005-0000-0000-00008F000000}"/>
    <cellStyle name="Normal 3 5" xfId="61" xr:uid="{00000000-0005-0000-0000-000090000000}"/>
    <cellStyle name="Normal 3 5 2" xfId="62" xr:uid="{00000000-0005-0000-0000-000091000000}"/>
    <cellStyle name="Normal 3 6" xfId="63" xr:uid="{00000000-0005-0000-0000-000092000000}"/>
    <cellStyle name="Normal 3 6 2" xfId="64" xr:uid="{00000000-0005-0000-0000-000093000000}"/>
    <cellStyle name="Normal 3 7" xfId="65" xr:uid="{00000000-0005-0000-0000-000094000000}"/>
    <cellStyle name="Normal 3 8" xfId="66" xr:uid="{00000000-0005-0000-0000-000095000000}"/>
    <cellStyle name="Normal 3 9" xfId="67" xr:uid="{00000000-0005-0000-0000-000096000000}"/>
    <cellStyle name="Normal 4" xfId="5" xr:uid="{00000000-0005-0000-0000-000097000000}"/>
    <cellStyle name="Normal 4 10" xfId="68" xr:uid="{00000000-0005-0000-0000-000098000000}"/>
    <cellStyle name="Normal 4 11" xfId="270" xr:uid="{00000000-0005-0000-0000-000099000000}"/>
    <cellStyle name="Normal 4 12" xfId="271" xr:uid="{00000000-0005-0000-0000-00009A000000}"/>
    <cellStyle name="Normal 4 13" xfId="272" xr:uid="{00000000-0005-0000-0000-00009B000000}"/>
    <cellStyle name="Normal 4 2" xfId="69" xr:uid="{00000000-0005-0000-0000-00009C000000}"/>
    <cellStyle name="Normal 4 2 2" xfId="70" xr:uid="{00000000-0005-0000-0000-00009D000000}"/>
    <cellStyle name="Normal 4 2 2 2" xfId="71" xr:uid="{00000000-0005-0000-0000-00009E000000}"/>
    <cellStyle name="Normal 4 2 3" xfId="72" xr:uid="{00000000-0005-0000-0000-00009F000000}"/>
    <cellStyle name="Normal 4 2 4" xfId="73" xr:uid="{00000000-0005-0000-0000-0000A0000000}"/>
    <cellStyle name="Normal 4 2 5" xfId="74" xr:uid="{00000000-0005-0000-0000-0000A1000000}"/>
    <cellStyle name="Normal 4 3" xfId="75" xr:uid="{00000000-0005-0000-0000-0000A2000000}"/>
    <cellStyle name="Normal 4 3 2" xfId="76" xr:uid="{00000000-0005-0000-0000-0000A3000000}"/>
    <cellStyle name="Normal 4 3 3" xfId="77" xr:uid="{00000000-0005-0000-0000-0000A4000000}"/>
    <cellStyle name="Normal 4 3 4" xfId="78" xr:uid="{00000000-0005-0000-0000-0000A5000000}"/>
    <cellStyle name="Normal 4 4" xfId="79" xr:uid="{00000000-0005-0000-0000-0000A6000000}"/>
    <cellStyle name="Normal 4 4 2" xfId="80" xr:uid="{00000000-0005-0000-0000-0000A7000000}"/>
    <cellStyle name="Normal 4 5" xfId="81" xr:uid="{00000000-0005-0000-0000-0000A8000000}"/>
    <cellStyle name="Normal 4 5 2" xfId="82" xr:uid="{00000000-0005-0000-0000-0000A9000000}"/>
    <cellStyle name="Normal 4 6" xfId="83" xr:uid="{00000000-0005-0000-0000-0000AA000000}"/>
    <cellStyle name="Normal 4 6 2" xfId="84" xr:uid="{00000000-0005-0000-0000-0000AB000000}"/>
    <cellStyle name="Normal 4 7" xfId="85" xr:uid="{00000000-0005-0000-0000-0000AC000000}"/>
    <cellStyle name="Normal 4 8" xfId="86" xr:uid="{00000000-0005-0000-0000-0000AD000000}"/>
    <cellStyle name="Normal 4 9" xfId="87" xr:uid="{00000000-0005-0000-0000-0000AE000000}"/>
    <cellStyle name="Normal 5" xfId="7" xr:uid="{00000000-0005-0000-0000-0000AF000000}"/>
    <cellStyle name="Normal 5 10" xfId="191" xr:uid="{00000000-0005-0000-0000-0000B0000000}"/>
    <cellStyle name="Normal 5 11" xfId="273" xr:uid="{00000000-0005-0000-0000-0000B1000000}"/>
    <cellStyle name="Normal 5 12" xfId="274" xr:uid="{00000000-0005-0000-0000-0000B2000000}"/>
    <cellStyle name="Normal 5 13" xfId="275" xr:uid="{00000000-0005-0000-0000-0000B3000000}"/>
    <cellStyle name="Normal 5 2" xfId="88" xr:uid="{00000000-0005-0000-0000-0000B4000000}"/>
    <cellStyle name="Normal 5 2 2" xfId="89" xr:uid="{00000000-0005-0000-0000-0000B5000000}"/>
    <cellStyle name="Normal 5 2 2 2" xfId="90" xr:uid="{00000000-0005-0000-0000-0000B6000000}"/>
    <cellStyle name="Normal 5 2 3" xfId="91" xr:uid="{00000000-0005-0000-0000-0000B7000000}"/>
    <cellStyle name="Normal 5 2 4" xfId="92" xr:uid="{00000000-0005-0000-0000-0000B8000000}"/>
    <cellStyle name="Normal 5 3" xfId="93" xr:uid="{00000000-0005-0000-0000-0000B9000000}"/>
    <cellStyle name="Normal 5 3 2" xfId="94" xr:uid="{00000000-0005-0000-0000-0000BA000000}"/>
    <cellStyle name="Normal 5 3 3" xfId="95" xr:uid="{00000000-0005-0000-0000-0000BB000000}"/>
    <cellStyle name="Normal 5 4" xfId="96" xr:uid="{00000000-0005-0000-0000-0000BC000000}"/>
    <cellStyle name="Normal 5 4 2" xfId="97" xr:uid="{00000000-0005-0000-0000-0000BD000000}"/>
    <cellStyle name="Normal 5 5" xfId="98" xr:uid="{00000000-0005-0000-0000-0000BE000000}"/>
    <cellStyle name="Normal 5 5 2" xfId="99" xr:uid="{00000000-0005-0000-0000-0000BF000000}"/>
    <cellStyle name="Normal 5 6" xfId="100" xr:uid="{00000000-0005-0000-0000-0000C0000000}"/>
    <cellStyle name="Normal 5 6 2" xfId="101" xr:uid="{00000000-0005-0000-0000-0000C1000000}"/>
    <cellStyle name="Normal 5 7" xfId="102" xr:uid="{00000000-0005-0000-0000-0000C2000000}"/>
    <cellStyle name="Normal 5 8" xfId="103" xr:uid="{00000000-0005-0000-0000-0000C3000000}"/>
    <cellStyle name="Normal 5 9" xfId="104" xr:uid="{00000000-0005-0000-0000-0000C4000000}"/>
    <cellStyle name="Normal 6" xfId="18" xr:uid="{00000000-0005-0000-0000-0000C5000000}"/>
    <cellStyle name="Normal 6 2" xfId="276" xr:uid="{00000000-0005-0000-0000-0000C6000000}"/>
    <cellStyle name="Normal 7" xfId="105" xr:uid="{00000000-0005-0000-0000-0000C7000000}"/>
    <cellStyle name="Normal 7 2" xfId="106" xr:uid="{00000000-0005-0000-0000-0000C8000000}"/>
    <cellStyle name="Normal 7 2 2" xfId="107" xr:uid="{00000000-0005-0000-0000-0000C9000000}"/>
    <cellStyle name="Normal 7 2 3" xfId="108" xr:uid="{00000000-0005-0000-0000-0000CA000000}"/>
    <cellStyle name="Normal 7 3" xfId="109" xr:uid="{00000000-0005-0000-0000-0000CB000000}"/>
    <cellStyle name="Normal 7 3 2" xfId="110" xr:uid="{00000000-0005-0000-0000-0000CC000000}"/>
    <cellStyle name="Normal 7 4" xfId="111" xr:uid="{00000000-0005-0000-0000-0000CD000000}"/>
    <cellStyle name="Normal 7 4 2" xfId="112" xr:uid="{00000000-0005-0000-0000-0000CE000000}"/>
    <cellStyle name="Normal 7 5" xfId="113" xr:uid="{00000000-0005-0000-0000-0000CF000000}"/>
    <cellStyle name="Normal 7 5 2" xfId="114" xr:uid="{00000000-0005-0000-0000-0000D0000000}"/>
    <cellStyle name="Normal 7 6" xfId="115" xr:uid="{00000000-0005-0000-0000-0000D1000000}"/>
    <cellStyle name="Normal 7 7" xfId="116" xr:uid="{00000000-0005-0000-0000-0000D2000000}"/>
    <cellStyle name="Normal 7 8" xfId="117" xr:uid="{00000000-0005-0000-0000-0000D3000000}"/>
    <cellStyle name="Normal 8" xfId="15" xr:uid="{00000000-0005-0000-0000-0000D4000000}"/>
    <cellStyle name="Normal 8 2" xfId="118" xr:uid="{00000000-0005-0000-0000-0000D5000000}"/>
    <cellStyle name="Normal 8 2 2" xfId="119" xr:uid="{00000000-0005-0000-0000-0000D6000000}"/>
    <cellStyle name="Normal 8 3" xfId="120" xr:uid="{00000000-0005-0000-0000-0000D7000000}"/>
    <cellStyle name="Normal 8 3 2" xfId="121" xr:uid="{00000000-0005-0000-0000-0000D8000000}"/>
    <cellStyle name="Normal 8 4" xfId="122" xr:uid="{00000000-0005-0000-0000-0000D9000000}"/>
    <cellStyle name="Normal 8 4 2" xfId="123" xr:uid="{00000000-0005-0000-0000-0000DA000000}"/>
    <cellStyle name="Normal 8 5" xfId="124" xr:uid="{00000000-0005-0000-0000-0000DB000000}"/>
    <cellStyle name="Normal 9" xfId="125" xr:uid="{00000000-0005-0000-0000-0000DC000000}"/>
    <cellStyle name="Note 2" xfId="277" xr:uid="{00000000-0005-0000-0000-0000DD000000}"/>
    <cellStyle name="Note 2 2" xfId="320" xr:uid="{00000000-0005-0000-0000-0000DE000000}"/>
    <cellStyle name="Note 3" xfId="278" xr:uid="{00000000-0005-0000-0000-0000DF000000}"/>
    <cellStyle name="Note 4" xfId="279" xr:uid="{00000000-0005-0000-0000-0000E0000000}"/>
    <cellStyle name="Note 5" xfId="280" xr:uid="{00000000-0005-0000-0000-0000E1000000}"/>
    <cellStyle name="Output 2" xfId="281" xr:uid="{00000000-0005-0000-0000-0000E2000000}"/>
    <cellStyle name="Percent" xfId="1" builtinId="5"/>
    <cellStyle name="Percent 2" xfId="9" xr:uid="{00000000-0005-0000-0000-0000E4000000}"/>
    <cellStyle name="Percent 2 2" xfId="126" xr:uid="{00000000-0005-0000-0000-0000E5000000}"/>
    <cellStyle name="Percent 2 2 10" xfId="282" xr:uid="{00000000-0005-0000-0000-0000E6000000}"/>
    <cellStyle name="Percent 2 2 11" xfId="283" xr:uid="{00000000-0005-0000-0000-0000E7000000}"/>
    <cellStyle name="Percent 2 2 12" xfId="284" xr:uid="{00000000-0005-0000-0000-0000E8000000}"/>
    <cellStyle name="Percent 2 2 2" xfId="127" xr:uid="{00000000-0005-0000-0000-0000E9000000}"/>
    <cellStyle name="Percent 2 2 2 2" xfId="128" xr:uid="{00000000-0005-0000-0000-0000EA000000}"/>
    <cellStyle name="Percent 2 2 3" xfId="129" xr:uid="{00000000-0005-0000-0000-0000EB000000}"/>
    <cellStyle name="Percent 2 2 4" xfId="130" xr:uid="{00000000-0005-0000-0000-0000EC000000}"/>
    <cellStyle name="Percent 2 2 5" xfId="285" xr:uid="{00000000-0005-0000-0000-0000ED000000}"/>
    <cellStyle name="Percent 2 2 6" xfId="286" xr:uid="{00000000-0005-0000-0000-0000EE000000}"/>
    <cellStyle name="Percent 2 2 7" xfId="287" xr:uid="{00000000-0005-0000-0000-0000EF000000}"/>
    <cellStyle name="Percent 2 2 8" xfId="288" xr:uid="{00000000-0005-0000-0000-0000F0000000}"/>
    <cellStyle name="Percent 2 2 9" xfId="289" xr:uid="{00000000-0005-0000-0000-0000F1000000}"/>
    <cellStyle name="Percent 2 3" xfId="131" xr:uid="{00000000-0005-0000-0000-0000F2000000}"/>
    <cellStyle name="Percent 2 3 10" xfId="290" xr:uid="{00000000-0005-0000-0000-0000F3000000}"/>
    <cellStyle name="Percent 2 3 11" xfId="291" xr:uid="{00000000-0005-0000-0000-0000F4000000}"/>
    <cellStyle name="Percent 2 3 12" xfId="292" xr:uid="{00000000-0005-0000-0000-0000F5000000}"/>
    <cellStyle name="Percent 2 3 2" xfId="132" xr:uid="{00000000-0005-0000-0000-0000F6000000}"/>
    <cellStyle name="Percent 2 3 3" xfId="133" xr:uid="{00000000-0005-0000-0000-0000F7000000}"/>
    <cellStyle name="Percent 2 3 4" xfId="293" xr:uid="{00000000-0005-0000-0000-0000F8000000}"/>
    <cellStyle name="Percent 2 3 5" xfId="294" xr:uid="{00000000-0005-0000-0000-0000F9000000}"/>
    <cellStyle name="Percent 2 3 6" xfId="295" xr:uid="{00000000-0005-0000-0000-0000FA000000}"/>
    <cellStyle name="Percent 2 3 7" xfId="296" xr:uid="{00000000-0005-0000-0000-0000FB000000}"/>
    <cellStyle name="Percent 2 3 8" xfId="297" xr:uid="{00000000-0005-0000-0000-0000FC000000}"/>
    <cellStyle name="Percent 2 3 9" xfId="298" xr:uid="{00000000-0005-0000-0000-0000FD000000}"/>
    <cellStyle name="Percent 2 4" xfId="134" xr:uid="{00000000-0005-0000-0000-0000FE000000}"/>
    <cellStyle name="Percent 2 4 10" xfId="299" xr:uid="{00000000-0005-0000-0000-0000FF000000}"/>
    <cellStyle name="Percent 2 4 11" xfId="300" xr:uid="{00000000-0005-0000-0000-000000010000}"/>
    <cellStyle name="Percent 2 4 12" xfId="301" xr:uid="{00000000-0005-0000-0000-000001010000}"/>
    <cellStyle name="Percent 2 4 2" xfId="135" xr:uid="{00000000-0005-0000-0000-000002010000}"/>
    <cellStyle name="Percent 2 4 3" xfId="302" xr:uid="{00000000-0005-0000-0000-000003010000}"/>
    <cellStyle name="Percent 2 4 4" xfId="303" xr:uid="{00000000-0005-0000-0000-000004010000}"/>
    <cellStyle name="Percent 2 4 5" xfId="304" xr:uid="{00000000-0005-0000-0000-000005010000}"/>
    <cellStyle name="Percent 2 4 6" xfId="305" xr:uid="{00000000-0005-0000-0000-000006010000}"/>
    <cellStyle name="Percent 2 4 7" xfId="306" xr:uid="{00000000-0005-0000-0000-000007010000}"/>
    <cellStyle name="Percent 2 4 8" xfId="307" xr:uid="{00000000-0005-0000-0000-000008010000}"/>
    <cellStyle name="Percent 2 4 9" xfId="308" xr:uid="{00000000-0005-0000-0000-000009010000}"/>
    <cellStyle name="Percent 2 5" xfId="136" xr:uid="{00000000-0005-0000-0000-00000A010000}"/>
    <cellStyle name="Percent 2 5 2" xfId="137" xr:uid="{00000000-0005-0000-0000-00000B010000}"/>
    <cellStyle name="Percent 2 6" xfId="138" xr:uid="{00000000-0005-0000-0000-00000C010000}"/>
    <cellStyle name="Percent 2 6 2" xfId="139" xr:uid="{00000000-0005-0000-0000-00000D010000}"/>
    <cellStyle name="Percent 2 7" xfId="140" xr:uid="{00000000-0005-0000-0000-00000E010000}"/>
    <cellStyle name="Percent 2 8" xfId="141" xr:uid="{00000000-0005-0000-0000-00000F010000}"/>
    <cellStyle name="Percent 2 9" xfId="142" xr:uid="{00000000-0005-0000-0000-000010010000}"/>
    <cellStyle name="Percent 3" xfId="17" xr:uid="{00000000-0005-0000-0000-000011010000}"/>
    <cellStyle name="Percent 3 2" xfId="143" xr:uid="{00000000-0005-0000-0000-000012010000}"/>
    <cellStyle name="Percent 3 2 2" xfId="144" xr:uid="{00000000-0005-0000-0000-000013010000}"/>
    <cellStyle name="Percent 3 2 2 2" xfId="145" xr:uid="{00000000-0005-0000-0000-000014010000}"/>
    <cellStyle name="Percent 3 2 3" xfId="146" xr:uid="{00000000-0005-0000-0000-000015010000}"/>
    <cellStyle name="Percent 3 2 4" xfId="147" xr:uid="{00000000-0005-0000-0000-000016010000}"/>
    <cellStyle name="Percent 3 3" xfId="148" xr:uid="{00000000-0005-0000-0000-000017010000}"/>
    <cellStyle name="Percent 3 3 2" xfId="149" xr:uid="{00000000-0005-0000-0000-000018010000}"/>
    <cellStyle name="Percent 3 3 3" xfId="150" xr:uid="{00000000-0005-0000-0000-000019010000}"/>
    <cellStyle name="Percent 3 4" xfId="151" xr:uid="{00000000-0005-0000-0000-00001A010000}"/>
    <cellStyle name="Percent 3 4 2" xfId="152" xr:uid="{00000000-0005-0000-0000-00001B010000}"/>
    <cellStyle name="Percent 3 5" xfId="153" xr:uid="{00000000-0005-0000-0000-00001C010000}"/>
    <cellStyle name="Percent 3 5 2" xfId="154" xr:uid="{00000000-0005-0000-0000-00001D010000}"/>
    <cellStyle name="Percent 3 6" xfId="155" xr:uid="{00000000-0005-0000-0000-00001E010000}"/>
    <cellStyle name="Percent 3 6 2" xfId="156" xr:uid="{00000000-0005-0000-0000-00001F010000}"/>
    <cellStyle name="Percent 3 7" xfId="157" xr:uid="{00000000-0005-0000-0000-000020010000}"/>
    <cellStyle name="Percent 3 8" xfId="158" xr:uid="{00000000-0005-0000-0000-000021010000}"/>
    <cellStyle name="Percent 3 9" xfId="159" xr:uid="{00000000-0005-0000-0000-000022010000}"/>
    <cellStyle name="Percent 4" xfId="160" xr:uid="{00000000-0005-0000-0000-000023010000}"/>
    <cellStyle name="Percent 4 2" xfId="161" xr:uid="{00000000-0005-0000-0000-000024010000}"/>
    <cellStyle name="Percent 4 2 2" xfId="162" xr:uid="{00000000-0005-0000-0000-000025010000}"/>
    <cellStyle name="Percent 4 2 2 2" xfId="163" xr:uid="{00000000-0005-0000-0000-000026010000}"/>
    <cellStyle name="Percent 4 2 3" xfId="164" xr:uid="{00000000-0005-0000-0000-000027010000}"/>
    <cellStyle name="Percent 4 2 4" xfId="165" xr:uid="{00000000-0005-0000-0000-000028010000}"/>
    <cellStyle name="Percent 4 3" xfId="166" xr:uid="{00000000-0005-0000-0000-000029010000}"/>
    <cellStyle name="Percent 4 3 2" xfId="167" xr:uid="{00000000-0005-0000-0000-00002A010000}"/>
    <cellStyle name="Percent 4 3 3" xfId="168" xr:uid="{00000000-0005-0000-0000-00002B010000}"/>
    <cellStyle name="Percent 4 4" xfId="169" xr:uid="{00000000-0005-0000-0000-00002C010000}"/>
    <cellStyle name="Percent 4 4 2" xfId="170" xr:uid="{00000000-0005-0000-0000-00002D010000}"/>
    <cellStyle name="Percent 4 5" xfId="171" xr:uid="{00000000-0005-0000-0000-00002E010000}"/>
    <cellStyle name="Percent 4 5 2" xfId="172" xr:uid="{00000000-0005-0000-0000-00002F010000}"/>
    <cellStyle name="Percent 4 6" xfId="173" xr:uid="{00000000-0005-0000-0000-000030010000}"/>
    <cellStyle name="Percent 4 6 2" xfId="174" xr:uid="{00000000-0005-0000-0000-000031010000}"/>
    <cellStyle name="Percent 4 7" xfId="175" xr:uid="{00000000-0005-0000-0000-000032010000}"/>
    <cellStyle name="Percent 4 8" xfId="176" xr:uid="{00000000-0005-0000-0000-000033010000}"/>
    <cellStyle name="Percent 4 9" xfId="177" xr:uid="{00000000-0005-0000-0000-000034010000}"/>
    <cellStyle name="Percent 5" xfId="178" xr:uid="{00000000-0005-0000-0000-000035010000}"/>
    <cellStyle name="Percent 5 2" xfId="179" xr:uid="{00000000-0005-0000-0000-000036010000}"/>
    <cellStyle name="Percent 5 2 2" xfId="180" xr:uid="{00000000-0005-0000-0000-000037010000}"/>
    <cellStyle name="Percent 5 2 3" xfId="181" xr:uid="{00000000-0005-0000-0000-000038010000}"/>
    <cellStyle name="Percent 5 3" xfId="182" xr:uid="{00000000-0005-0000-0000-000039010000}"/>
    <cellStyle name="Percent 5 3 2" xfId="183" xr:uid="{00000000-0005-0000-0000-00003A010000}"/>
    <cellStyle name="Percent 5 4" xfId="184" xr:uid="{00000000-0005-0000-0000-00003B010000}"/>
    <cellStyle name="Percent 5 4 2" xfId="185" xr:uid="{00000000-0005-0000-0000-00003C010000}"/>
    <cellStyle name="Percent 5 5" xfId="186" xr:uid="{00000000-0005-0000-0000-00003D010000}"/>
    <cellStyle name="Percent 5 5 2" xfId="187" xr:uid="{00000000-0005-0000-0000-00003E010000}"/>
    <cellStyle name="Percent 5 6" xfId="188" xr:uid="{00000000-0005-0000-0000-00003F010000}"/>
    <cellStyle name="Percent 5 7" xfId="189" xr:uid="{00000000-0005-0000-0000-000040010000}"/>
    <cellStyle name="Percent 5 8" xfId="190" xr:uid="{00000000-0005-0000-0000-000041010000}"/>
    <cellStyle name="Percent 6" xfId="309" xr:uid="{00000000-0005-0000-0000-000042010000}"/>
    <cellStyle name="Percent 9" xfId="310" xr:uid="{00000000-0005-0000-0000-000043010000}"/>
    <cellStyle name="Title 2" xfId="316" xr:uid="{00000000-0005-0000-0000-000044010000}"/>
    <cellStyle name="Total 2" xfId="311" xr:uid="{00000000-0005-0000-0000-000045010000}"/>
    <cellStyle name="Warning Text 2" xfId="312" xr:uid="{00000000-0005-0000-0000-000046010000}"/>
  </cellStyles>
  <dxfs count="0"/>
  <tableStyles count="0" defaultTableStyle="TableStyleMedium2" defaultPivotStyle="PivotStyleLight16"/>
  <colors>
    <mruColors>
      <color rgb="FFF36107"/>
      <color rgb="FFEE3224"/>
      <color rgb="FF2ED07B"/>
      <color rgb="FF0034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witter.com/intent/tweet?text=I%20just%20designed%20my%20own%20$" TargetMode="External"/><Relationship Id="rId2" Type="http://schemas.openxmlformats.org/officeDocument/2006/relationships/hyperlink" Target="http://www.crfb.org/contact" TargetMode="External"/><Relationship Id="rId1" Type="http://schemas.openxmlformats.org/officeDocument/2006/relationships/hyperlink" Target="http://www.crfb.org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cbo.gov/publication/57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56EBA-9E00-47DE-A084-DB5418F0427D}">
  <dimension ref="A1:AK84"/>
  <sheetViews>
    <sheetView tabSelected="1" zoomScaleNormal="100" workbookViewId="0">
      <selection activeCell="B20" sqref="B20:N20"/>
    </sheetView>
  </sheetViews>
  <sheetFormatPr defaultColWidth="9.140625" defaultRowHeight="15"/>
  <cols>
    <col min="1" max="1" width="3.42578125" style="16" customWidth="1"/>
    <col min="2" max="2" width="10.140625" style="16" customWidth="1"/>
    <col min="3" max="3" width="16" style="16" customWidth="1"/>
    <col min="4" max="4" width="9.85546875" style="16" bestFit="1" customWidth="1"/>
    <col min="5" max="13" width="9.140625" style="16"/>
    <col min="14" max="14" width="6.5703125" style="16" customWidth="1"/>
    <col min="15" max="15" width="4" style="16" customWidth="1"/>
    <col min="16" max="16" width="17.140625" style="15" hidden="1" customWidth="1"/>
    <col min="17" max="23" width="9.140625" style="15" hidden="1" customWidth="1"/>
    <col min="24" max="31" width="9.140625" style="16" hidden="1" customWidth="1"/>
    <col min="32" max="64" width="9.140625" style="16" customWidth="1"/>
    <col min="65" max="16384" width="9.140625" style="16"/>
  </cols>
  <sheetData>
    <row r="1" spans="1:33" s="14" customFormat="1" ht="18.75">
      <c r="A1" s="4"/>
      <c r="B1" s="67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4"/>
      <c r="P1" s="13"/>
      <c r="Q1" s="15"/>
      <c r="R1" s="15"/>
      <c r="S1" s="15"/>
      <c r="T1" s="15"/>
      <c r="U1" s="15"/>
      <c r="V1" s="15"/>
      <c r="W1" s="15"/>
    </row>
    <row r="2" spans="1:33" s="14" customFormat="1">
      <c r="A2" s="4"/>
      <c r="B2" s="68" t="s">
        <v>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4"/>
      <c r="P2" s="13"/>
      <c r="Q2" s="15"/>
      <c r="R2" s="15"/>
      <c r="S2" s="15"/>
      <c r="T2" s="15"/>
      <c r="U2" s="15"/>
      <c r="V2" s="15"/>
      <c r="W2" s="15"/>
    </row>
    <row r="3" spans="1:33" s="14" customFormat="1">
      <c r="A3" s="69"/>
      <c r="B3" s="69"/>
      <c r="C3" s="69"/>
      <c r="D3" s="69"/>
      <c r="E3" s="69"/>
      <c r="F3" s="4"/>
      <c r="G3" s="4"/>
      <c r="H3" s="4"/>
      <c r="I3" s="4"/>
      <c r="J3" s="4"/>
      <c r="K3" s="4"/>
      <c r="L3" s="4"/>
      <c r="M3" s="4"/>
      <c r="N3" s="4"/>
      <c r="O3" s="4"/>
      <c r="P3" s="13"/>
      <c r="Q3" s="15"/>
      <c r="T3" s="15"/>
      <c r="U3" s="15"/>
      <c r="V3" s="15"/>
    </row>
    <row r="4" spans="1:33" ht="6" customHeight="1" thickBot="1">
      <c r="A4" s="2"/>
      <c r="B4" s="4"/>
      <c r="C4" s="4"/>
      <c r="D4" s="4"/>
      <c r="E4" s="2"/>
      <c r="F4" s="5"/>
      <c r="G4" s="2"/>
      <c r="H4" s="2"/>
      <c r="I4" s="1"/>
      <c r="J4" s="4"/>
      <c r="K4" s="4"/>
      <c r="L4" s="4"/>
      <c r="M4" s="2"/>
      <c r="N4" s="2"/>
      <c r="O4" s="2"/>
      <c r="P4" s="13"/>
      <c r="W4" s="16"/>
    </row>
    <row r="5" spans="1:33" ht="15.75" thickBot="1">
      <c r="A5" s="2"/>
      <c r="B5" s="70" t="s">
        <v>2</v>
      </c>
      <c r="C5" s="70"/>
      <c r="D5" s="71"/>
      <c r="E5" s="64">
        <v>40</v>
      </c>
      <c r="F5" s="72" t="s">
        <v>3</v>
      </c>
      <c r="G5" s="70"/>
      <c r="H5" s="71"/>
      <c r="I5" s="65">
        <v>2026</v>
      </c>
      <c r="J5" s="72" t="s">
        <v>4</v>
      </c>
      <c r="K5" s="70"/>
      <c r="L5" s="71"/>
      <c r="M5" s="66">
        <v>0.08</v>
      </c>
      <c r="N5" s="4"/>
      <c r="O5" s="2"/>
      <c r="P5" s="13"/>
      <c r="W5" s="16"/>
    </row>
    <row r="6" spans="1:33" ht="6" customHeight="1">
      <c r="A6" s="2"/>
      <c r="B6" s="4"/>
      <c r="C6" s="4"/>
      <c r="D6" s="4"/>
      <c r="E6" s="2"/>
      <c r="F6" s="6"/>
      <c r="G6" s="2"/>
      <c r="H6" s="2"/>
      <c r="I6" s="3"/>
      <c r="J6" s="4"/>
      <c r="K6" s="4"/>
      <c r="L6" s="4"/>
      <c r="M6" s="2"/>
      <c r="N6" s="2"/>
      <c r="O6" s="2"/>
      <c r="P6" s="13"/>
      <c r="W6" s="16"/>
    </row>
    <row r="7" spans="1:3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3"/>
    </row>
    <row r="8" spans="1:33" ht="15.75">
      <c r="A8" s="2"/>
      <c r="B8" s="73" t="s">
        <v>5</v>
      </c>
      <c r="C8" s="73"/>
      <c r="D8" s="60">
        <v>2023</v>
      </c>
      <c r="E8" s="60">
        <v>2024</v>
      </c>
      <c r="F8" s="60">
        <v>2025</v>
      </c>
      <c r="G8" s="60">
        <v>2026</v>
      </c>
      <c r="H8" s="60">
        <v>2027</v>
      </c>
      <c r="I8" s="60">
        <v>2028</v>
      </c>
      <c r="J8" s="60">
        <v>2029</v>
      </c>
      <c r="K8" s="60">
        <v>2030</v>
      </c>
      <c r="L8" s="60">
        <v>2031</v>
      </c>
      <c r="M8" s="60">
        <v>2032</v>
      </c>
      <c r="N8" s="58"/>
      <c r="O8" s="2"/>
      <c r="P8" s="13"/>
    </row>
    <row r="9" spans="1:33" ht="15.75">
      <c r="A9" s="2"/>
      <c r="B9" s="73"/>
      <c r="C9" s="73"/>
      <c r="D9" s="61">
        <f>D81</f>
        <v>34.030702612773503</v>
      </c>
      <c r="E9" s="61">
        <f t="shared" ref="E9:M9" si="0">E81</f>
        <v>65.121432438604302</v>
      </c>
      <c r="F9" s="61">
        <f t="shared" si="0"/>
        <v>92.955490734506228</v>
      </c>
      <c r="G9" s="61">
        <f t="shared" si="0"/>
        <v>120.02870822138632</v>
      </c>
      <c r="H9" s="61">
        <f t="shared" si="0"/>
        <v>129.17787328135188</v>
      </c>
      <c r="I9" s="61">
        <f t="shared" si="0"/>
        <v>139.55848487461913</v>
      </c>
      <c r="J9" s="61">
        <f t="shared" si="0"/>
        <v>151.04955314670437</v>
      </c>
      <c r="K9" s="61">
        <f t="shared" si="0"/>
        <v>163.04331578862937</v>
      </c>
      <c r="L9" s="61">
        <f t="shared" si="0"/>
        <v>175.68800908207041</v>
      </c>
      <c r="M9" s="61">
        <f t="shared" si="0"/>
        <v>190.90069334236642</v>
      </c>
      <c r="N9" s="62"/>
      <c r="O9" s="2"/>
      <c r="P9" s="13"/>
    </row>
    <row r="10" spans="1:33">
      <c r="A10" s="2"/>
      <c r="B10" s="73"/>
      <c r="C10" s="73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2"/>
      <c r="P10" s="13"/>
    </row>
    <row r="11" spans="1:33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2"/>
      <c r="P11" s="13"/>
    </row>
    <row r="12" spans="1:33" ht="15.75" customHeight="1">
      <c r="A12" s="2"/>
      <c r="B12" s="77" t="s">
        <v>6</v>
      </c>
      <c r="C12" s="77"/>
      <c r="D12" s="78" t="str">
        <f>"$"&amp;TEXT(MROUND(Q13,1),"#,##0")&amp;" billion"</f>
        <v>$1,214 billion</v>
      </c>
      <c r="E12" s="78"/>
      <c r="F12" s="4"/>
      <c r="G12" s="80" t="str">
        <f>"For $"&amp;(TEXT(MROUND(Q13,1),"#,##0")&amp;" billion of revenue, you could:")</f>
        <v>For $1,214 billion of revenue, you could:</v>
      </c>
      <c r="H12" s="80"/>
      <c r="I12" s="80"/>
      <c r="J12" s="80"/>
      <c r="K12" s="80"/>
      <c r="L12" s="80"/>
      <c r="M12" s="80"/>
      <c r="N12" s="80"/>
      <c r="O12" s="2"/>
      <c r="P12" s="13"/>
    </row>
    <row r="13" spans="1:33" ht="15.75">
      <c r="A13" s="2"/>
      <c r="B13" s="77"/>
      <c r="C13" s="77"/>
      <c r="D13" s="78"/>
      <c r="E13" s="78"/>
      <c r="F13" s="4"/>
      <c r="G13" s="80"/>
      <c r="H13" s="80"/>
      <c r="I13" s="80"/>
      <c r="J13" s="80"/>
      <c r="K13" s="80"/>
      <c r="L13" s="80"/>
      <c r="M13" s="80"/>
      <c r="N13" s="80"/>
      <c r="O13" s="2"/>
      <c r="P13" s="13"/>
      <c r="Q13" s="7">
        <f>SUM(D9:M9)-M9/4</f>
        <v>1213.8290901874202</v>
      </c>
      <c r="X13" s="16" t="e">
        <f>X16&amp;X17&amp;X19&amp;#REF!&amp;#REF!</f>
        <v>#REF!</v>
      </c>
    </row>
    <row r="14" spans="1:33" ht="15.75" customHeight="1">
      <c r="A14" s="2"/>
      <c r="B14" s="77"/>
      <c r="C14" s="77"/>
      <c r="D14" s="78"/>
      <c r="E14" s="78"/>
      <c r="F14" s="4"/>
      <c r="G14" s="80"/>
      <c r="H14" s="80"/>
      <c r="I14" s="80"/>
      <c r="J14" s="80"/>
      <c r="K14" s="80"/>
      <c r="L14" s="80"/>
      <c r="M14" s="80"/>
      <c r="N14" s="80"/>
      <c r="O14" s="2"/>
      <c r="P14" s="13"/>
      <c r="S14" s="15" t="s">
        <v>7</v>
      </c>
      <c r="T14" s="18" t="s">
        <v>8</v>
      </c>
    </row>
    <row r="15" spans="1:33" ht="15.75">
      <c r="A15" s="2"/>
      <c r="B15" s="11"/>
      <c r="C15" s="11"/>
      <c r="D15" s="12"/>
      <c r="E15" s="4"/>
      <c r="F15" s="4"/>
      <c r="G15" s="81" t="str">
        <f>"- Reduce 2032 debt-to-GDP by "&amp;ROUND((((ROUND((Q13*1.1366),1))/36680)*100),1)&amp;" percent"</f>
        <v>- Reduce 2032 debt-to-GDP by 3.8 percent</v>
      </c>
      <c r="H15" s="81"/>
      <c r="I15" s="81"/>
      <c r="J15" s="81"/>
      <c r="K15" s="81"/>
      <c r="L15" s="81"/>
      <c r="M15" s="81"/>
      <c r="N15" s="81"/>
      <c r="O15" s="2"/>
      <c r="P15" s="13"/>
      <c r="Q15" s="19"/>
      <c r="AG15" s="56"/>
    </row>
    <row r="16" spans="1:33" ht="15.75">
      <c r="A16" s="2"/>
      <c r="B16" s="4"/>
      <c r="C16" s="4"/>
      <c r="D16" s="4"/>
      <c r="E16" s="4"/>
      <c r="F16" s="4"/>
      <c r="G16" s="81" t="str">
        <f>"- Issue annual rebates of $"&amp;TEXT(ROUND(((Q13/10)/0.332538),0),"#,##0")&amp;" per person"</f>
        <v>- Issue annual rebates of $365 per person</v>
      </c>
      <c r="H16" s="81"/>
      <c r="I16" s="81"/>
      <c r="J16" s="81"/>
      <c r="K16" s="81"/>
      <c r="L16" s="81"/>
      <c r="M16" s="81"/>
      <c r="N16" s="81"/>
      <c r="O16" s="2"/>
      <c r="P16" s="13"/>
      <c r="Q16" s="19"/>
      <c r="S16" s="15" t="e">
        <f>IF(#REF!="X", 1, 0)</f>
        <v>#REF!</v>
      </c>
      <c r="T16" s="15" t="e">
        <f>IF(#REF!="$75k/$150k",10,IF(#REF!="$60k/$120k",20,IF(#REF!="$50k/$100k",30,IF(#REF!="$30k/$60k",40,IF(#REF!="$200k/$400k",50,IF(#REF!="None",60))))))</f>
        <v>#REF!</v>
      </c>
      <c r="X16" s="20" t="s">
        <v>9</v>
      </c>
      <c r="AG16" s="56"/>
    </row>
    <row r="17" spans="1:37" ht="15.75">
      <c r="A17" s="2"/>
      <c r="B17" s="77" t="s">
        <v>10</v>
      </c>
      <c r="C17" s="77"/>
      <c r="D17" s="79" t="str">
        <f>ROUND((Q19*100),0)&amp;" percent"</f>
        <v>20 percent</v>
      </c>
      <c r="E17" s="79"/>
      <c r="F17" s="4"/>
      <c r="G17" s="82" t="str">
        <f>"- Reduce the payroll tax by "&amp;(ROUND((Q13/763.2392),1))&amp;" percentage points"</f>
        <v>- Reduce the payroll tax by 1.6 percentage points</v>
      </c>
      <c r="H17" s="82"/>
      <c r="I17" s="82"/>
      <c r="J17" s="82"/>
      <c r="K17" s="82"/>
      <c r="L17" s="82"/>
      <c r="M17" s="82"/>
      <c r="N17" s="82"/>
      <c r="O17" s="2"/>
      <c r="P17" s="13"/>
      <c r="Q17" s="21"/>
      <c r="X17" s="22" t="e">
        <f>#REF!</f>
        <v>#REF!</v>
      </c>
      <c r="Y17" s="23"/>
    </row>
    <row r="18" spans="1:37" ht="15.75">
      <c r="A18" s="2"/>
      <c r="B18" s="77"/>
      <c r="C18" s="77"/>
      <c r="D18" s="79"/>
      <c r="E18" s="79"/>
      <c r="F18" s="10"/>
      <c r="G18" s="82" t="str">
        <f>IF(Q13&gt;=300,"- Fund $300 billion of climate investments and still save $"&amp;(TEXT((MROUND(Q13,1))-300,"#,##0")&amp;" billion"),"- Fund $"&amp;(ROUND(Q13,0))&amp;" billion of climate investments")</f>
        <v>- Fund $300 billion of climate investments and still save $914 billion</v>
      </c>
      <c r="H18" s="82"/>
      <c r="I18" s="82"/>
      <c r="J18" s="82"/>
      <c r="K18" s="82"/>
      <c r="L18" s="82"/>
      <c r="M18" s="82"/>
      <c r="N18" s="82"/>
      <c r="O18" s="2"/>
      <c r="P18" s="13"/>
      <c r="S18" s="15" t="e">
        <f>IF(#REF!="X", 1, 0)</f>
        <v>#REF!</v>
      </c>
      <c r="T18" s="15" t="e">
        <f>IF(#REF!=5%,1,IF(#REF!=10%,2,IF(#REF!=25%,3,)))</f>
        <v>#REF!</v>
      </c>
      <c r="X18" s="22"/>
      <c r="Y18" s="23"/>
      <c r="AG18" s="63"/>
    </row>
    <row r="19" spans="1:37" ht="15.75">
      <c r="A19" s="2"/>
      <c r="B19" s="77"/>
      <c r="C19" s="77"/>
      <c r="D19" s="79"/>
      <c r="E19" s="79"/>
      <c r="F19" s="4"/>
      <c r="G19" s="59"/>
      <c r="H19" s="59"/>
      <c r="I19" s="59"/>
      <c r="J19" s="59"/>
      <c r="K19" s="59"/>
      <c r="L19" s="59"/>
      <c r="M19" s="59"/>
      <c r="N19" s="57"/>
      <c r="O19" s="2"/>
      <c r="P19" s="13"/>
      <c r="Q19" s="9">
        <f>-M83</f>
        <v>0.20424296969657207</v>
      </c>
      <c r="X19" s="16" t="s">
        <v>11</v>
      </c>
    </row>
    <row r="20" spans="1:37" ht="21.75" customHeight="1">
      <c r="A20" s="2"/>
      <c r="B20" s="83" t="s">
        <v>12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2"/>
      <c r="P20" s="13"/>
      <c r="S20" s="15" t="e">
        <f>IF(#REF!="X", 1, 0)</f>
        <v>#REF!</v>
      </c>
      <c r="T20" s="15" t="e">
        <f>SUM(T16:T18)</f>
        <v>#REF!</v>
      </c>
    </row>
    <row r="21" spans="1:37" ht="46.5" customHeight="1">
      <c r="A21" s="2"/>
      <c r="B21" s="74" t="s">
        <v>41</v>
      </c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2"/>
      <c r="P21" s="13"/>
      <c r="AK21" s="14"/>
    </row>
    <row r="22" spans="1:37" s="14" customFormat="1" ht="26.25" customHeight="1">
      <c r="A22" s="4"/>
      <c r="B22" s="76" t="s">
        <v>13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4"/>
      <c r="P22" s="13"/>
      <c r="Q22" s="15"/>
      <c r="R22" s="15"/>
      <c r="S22" s="15"/>
      <c r="T22" s="15">
        <v>61</v>
      </c>
      <c r="U22" s="15">
        <v>-0.16300000000000001</v>
      </c>
      <c r="V22" s="15" t="e">
        <f>IF($T$20=T22,U22,0)</f>
        <v>#REF!</v>
      </c>
      <c r="W22" s="15"/>
    </row>
    <row r="23" spans="1:37" s="14" customFormat="1">
      <c r="A23" s="4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4"/>
      <c r="P23" s="13"/>
      <c r="Q23" s="15"/>
      <c r="R23" s="15"/>
      <c r="S23" s="15"/>
      <c r="T23" s="15">
        <v>61</v>
      </c>
      <c r="U23" s="15">
        <v>-0.16300000000000001</v>
      </c>
      <c r="V23" s="15" t="e">
        <f>IF($T$20=T23,U23,0)</f>
        <v>#REF!</v>
      </c>
      <c r="W23" s="15"/>
    </row>
    <row r="24" spans="1:37" s="14" customFormat="1">
      <c r="A24" s="15"/>
      <c r="B24" s="15"/>
      <c r="C24" s="1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6"/>
      <c r="P24" s="15"/>
      <c r="Q24" s="15"/>
      <c r="R24" s="15"/>
      <c r="S24" s="15"/>
      <c r="T24" s="15"/>
      <c r="U24" s="15"/>
      <c r="V24" s="15"/>
      <c r="W24" s="15"/>
    </row>
    <row r="25" spans="1:37" s="14" customForma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P25" s="15"/>
      <c r="Q25" s="15"/>
      <c r="R25" s="15"/>
      <c r="S25" s="15"/>
      <c r="T25" s="15"/>
      <c r="U25" s="15"/>
      <c r="V25" s="15"/>
      <c r="W25" s="15"/>
    </row>
    <row r="26" spans="1:37" s="14" customFormat="1">
      <c r="A26" s="15"/>
      <c r="B26" s="27"/>
      <c r="C26" s="27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15"/>
      <c r="P26" s="15"/>
      <c r="Q26" s="15"/>
      <c r="R26" s="15"/>
      <c r="S26" s="15"/>
      <c r="T26" s="15"/>
      <c r="U26" s="15"/>
      <c r="V26" s="15"/>
      <c r="W26" s="15"/>
    </row>
    <row r="27" spans="1:37" s="14" customFormat="1" hidden="1">
      <c r="A27" s="15"/>
      <c r="B27" s="27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15"/>
      <c r="P27" s="15"/>
      <c r="Q27" s="15"/>
      <c r="R27" s="15"/>
      <c r="S27" s="15"/>
      <c r="T27" s="15"/>
      <c r="U27" s="15"/>
      <c r="V27" s="15"/>
      <c r="W27" s="15"/>
    </row>
    <row r="28" spans="1:37" s="14" customFormat="1" hidden="1">
      <c r="A28" s="15"/>
      <c r="B28" s="29" t="s">
        <v>14</v>
      </c>
      <c r="C28" s="27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15"/>
      <c r="P28" s="15"/>
      <c r="Q28" s="15"/>
      <c r="R28" s="15"/>
      <c r="S28" s="15"/>
      <c r="T28" s="15"/>
      <c r="U28" s="15"/>
      <c r="V28" s="15"/>
      <c r="W28" s="15"/>
    </row>
    <row r="29" spans="1:37" s="14" customFormat="1" hidden="1">
      <c r="A29" s="15"/>
      <c r="B29" s="31" t="s">
        <v>15</v>
      </c>
      <c r="C29" s="27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15"/>
      <c r="P29" s="15"/>
      <c r="Q29" s="15"/>
      <c r="R29" s="15"/>
      <c r="S29" s="15"/>
      <c r="T29" s="15"/>
      <c r="U29" s="15"/>
      <c r="V29" s="15"/>
      <c r="W29" s="15"/>
    </row>
    <row r="30" spans="1:37" s="14" customFormat="1" hidden="1">
      <c r="A30" s="15"/>
      <c r="B30" s="15"/>
      <c r="C30" s="15"/>
      <c r="D30" s="32">
        <v>2023</v>
      </c>
      <c r="E30" s="32">
        <v>2024</v>
      </c>
      <c r="F30" s="32">
        <v>2025</v>
      </c>
      <c r="G30" s="32">
        <v>2026</v>
      </c>
      <c r="H30" s="32">
        <v>2027</v>
      </c>
      <c r="I30" s="32">
        <v>2028</v>
      </c>
      <c r="J30" s="32">
        <v>2029</v>
      </c>
      <c r="K30" s="32">
        <v>2030</v>
      </c>
      <c r="L30" s="32">
        <v>2031</v>
      </c>
      <c r="M30" s="32">
        <v>2032</v>
      </c>
      <c r="N30" s="15"/>
      <c r="P30" s="15"/>
      <c r="Q30" s="15"/>
      <c r="R30" s="15"/>
      <c r="S30" s="15"/>
      <c r="T30" s="15"/>
      <c r="U30" s="15"/>
      <c r="V30" s="15"/>
      <c r="W30" s="15"/>
    </row>
    <row r="31" spans="1:37" s="14" customFormat="1" hidden="1">
      <c r="A31" s="15"/>
      <c r="B31" s="15" t="s">
        <v>16</v>
      </c>
      <c r="C31" s="15"/>
      <c r="D31" s="33">
        <f t="shared" ref="D31:M31" si="1">IF($I$5=D30,$E$5,0)</f>
        <v>0</v>
      </c>
      <c r="E31" s="33">
        <f t="shared" si="1"/>
        <v>0</v>
      </c>
      <c r="F31" s="33">
        <f t="shared" si="1"/>
        <v>0</v>
      </c>
      <c r="G31" s="33">
        <f t="shared" si="1"/>
        <v>40</v>
      </c>
      <c r="H31" s="33">
        <f t="shared" si="1"/>
        <v>0</v>
      </c>
      <c r="I31" s="33">
        <f t="shared" si="1"/>
        <v>0</v>
      </c>
      <c r="J31" s="33">
        <f t="shared" si="1"/>
        <v>0</v>
      </c>
      <c r="K31" s="33">
        <f t="shared" si="1"/>
        <v>0</v>
      </c>
      <c r="L31" s="33">
        <f t="shared" si="1"/>
        <v>0</v>
      </c>
      <c r="M31" s="33">
        <f t="shared" si="1"/>
        <v>0</v>
      </c>
      <c r="N31" s="15"/>
      <c r="P31" s="15"/>
      <c r="Q31" s="15"/>
      <c r="R31" s="15"/>
      <c r="S31" s="15"/>
      <c r="T31" s="15"/>
      <c r="U31" s="15"/>
      <c r="V31" s="15"/>
      <c r="W31" s="15"/>
    </row>
    <row r="32" spans="1:37" s="14" customFormat="1" hidden="1">
      <c r="A32" s="15"/>
      <c r="B32" s="15" t="s">
        <v>17</v>
      </c>
      <c r="C32" s="15"/>
      <c r="D32" s="33">
        <f>SUM($D$31:$M$31)/SUM($D$37:$M$37)</f>
        <v>10</v>
      </c>
      <c r="E32" s="33">
        <f>2*SUM($D$31:$M$31)/SUM($D$37:$M$37)</f>
        <v>20</v>
      </c>
      <c r="F32" s="33">
        <f>3*SUM($D$31:$M$31)/SUM($D$37:$M$37)</f>
        <v>30</v>
      </c>
      <c r="G32" s="33">
        <f>4*SUM($D$31:$M$31)/SUM($D$37:$M$37)</f>
        <v>40</v>
      </c>
      <c r="H32" s="33">
        <f>5*SUM($D$31:$M$31)/SUM($D$37:$M$37)</f>
        <v>50</v>
      </c>
      <c r="I32" s="33">
        <f>6*SUM($D$31:$M$31)/SUM($D$37:$M$37)</f>
        <v>60</v>
      </c>
      <c r="J32" s="33">
        <f>7*SUM($D$31:$M$31)/SUM($D$37:$M$37)</f>
        <v>70</v>
      </c>
      <c r="K32" s="33">
        <f>8*SUM($D$31:$M$31)/SUM($D$37:$M$37)</f>
        <v>80</v>
      </c>
      <c r="L32" s="33">
        <f>9*SUM($D$31:$M$31)/SUM($D$37:$M$37)</f>
        <v>90</v>
      </c>
      <c r="M32" s="33">
        <f>10*SUM($D$31:$M$31)/SUM($D$37:$M$37)</f>
        <v>100</v>
      </c>
      <c r="N32" s="15"/>
      <c r="P32" s="15"/>
      <c r="Q32" s="15"/>
      <c r="R32" s="15"/>
      <c r="S32" s="15"/>
      <c r="T32" s="15"/>
      <c r="U32" s="15"/>
      <c r="V32" s="15"/>
      <c r="W32" s="15"/>
    </row>
    <row r="33" spans="1:37" s="14" customFormat="1" hidden="1">
      <c r="A33" s="15"/>
      <c r="B33" s="15" t="s">
        <v>18</v>
      </c>
      <c r="C33" s="15"/>
      <c r="D33" s="34">
        <f>MIN(D32,SUM($D$31:$M$31))</f>
        <v>10</v>
      </c>
      <c r="E33" s="34">
        <f t="shared" ref="E33:M33" si="2">MIN(E32,SUM($D$31:$M$31))</f>
        <v>20</v>
      </c>
      <c r="F33" s="34">
        <f t="shared" si="2"/>
        <v>30</v>
      </c>
      <c r="G33" s="34">
        <f t="shared" si="2"/>
        <v>40</v>
      </c>
      <c r="H33" s="34">
        <f t="shared" si="2"/>
        <v>40</v>
      </c>
      <c r="I33" s="34">
        <f t="shared" si="2"/>
        <v>40</v>
      </c>
      <c r="J33" s="34">
        <f t="shared" si="2"/>
        <v>40</v>
      </c>
      <c r="K33" s="34">
        <f t="shared" si="2"/>
        <v>40</v>
      </c>
      <c r="L33" s="34">
        <f t="shared" si="2"/>
        <v>40</v>
      </c>
      <c r="M33" s="34">
        <f t="shared" si="2"/>
        <v>40</v>
      </c>
      <c r="N33" s="15"/>
      <c r="P33" s="15"/>
      <c r="Q33" s="15"/>
      <c r="R33" s="15"/>
      <c r="S33" s="15"/>
      <c r="T33" s="15"/>
      <c r="U33" s="15"/>
      <c r="V33" s="15"/>
      <c r="W33" s="15"/>
    </row>
    <row r="34" spans="1:37" s="14" customFormat="1" hidden="1">
      <c r="A34" s="15"/>
      <c r="B34" s="15" t="s">
        <v>19</v>
      </c>
      <c r="C34" s="31"/>
      <c r="D34" s="35">
        <f t="shared" ref="D34:F34" si="3">IF(D32&gt;D33,C34*(1+D39),D33)</f>
        <v>10</v>
      </c>
      <c r="E34" s="35">
        <f t="shared" si="3"/>
        <v>20</v>
      </c>
      <c r="F34" s="35">
        <f t="shared" si="3"/>
        <v>30</v>
      </c>
      <c r="G34" s="35">
        <f>IF(G32&gt;G33,F34*(1+G39),G33)</f>
        <v>40</v>
      </c>
      <c r="H34" s="36">
        <f>IF(H32&gt;H33,G34*(1+H39),H33)</f>
        <v>44.04</v>
      </c>
      <c r="I34" s="36">
        <f t="shared" ref="I34:M34" si="4">IF(I32&gt;I33,H34*(1+I39),I33)</f>
        <v>48.488039999999998</v>
      </c>
      <c r="J34" s="36">
        <f t="shared" si="4"/>
        <v>53.385332039999994</v>
      </c>
      <c r="K34" s="36">
        <f t="shared" si="4"/>
        <v>58.777250576039989</v>
      </c>
      <c r="L34" s="36">
        <f t="shared" si="4"/>
        <v>64.713752884220028</v>
      </c>
      <c r="M34" s="36">
        <f t="shared" si="4"/>
        <v>71.249841925526255</v>
      </c>
      <c r="N34" s="15"/>
      <c r="P34" s="15"/>
      <c r="Q34" s="15"/>
      <c r="R34" s="15"/>
      <c r="S34" s="15"/>
      <c r="T34" s="15"/>
      <c r="U34" s="15"/>
      <c r="V34" s="15"/>
      <c r="W34" s="15"/>
      <c r="AK34" s="37"/>
    </row>
    <row r="35" spans="1:37" s="14" customFormat="1" hidden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38"/>
      <c r="N35" s="15"/>
      <c r="P35" s="15"/>
      <c r="Q35" s="15"/>
      <c r="R35" s="15"/>
      <c r="S35" s="15"/>
      <c r="T35" s="15"/>
      <c r="U35" s="15"/>
      <c r="V35" s="15"/>
      <c r="W35" s="15"/>
      <c r="AK35" s="37"/>
    </row>
    <row r="36" spans="1:37" s="14" customFormat="1" hidden="1">
      <c r="A36" s="15"/>
      <c r="B36" s="31" t="s">
        <v>20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P36" s="15"/>
      <c r="Q36" s="15"/>
      <c r="R36" s="15"/>
      <c r="S36" s="15"/>
      <c r="T36" s="15"/>
      <c r="U36" s="15"/>
      <c r="V36" s="15"/>
      <c r="W36" s="15"/>
      <c r="AK36" s="37"/>
    </row>
    <row r="37" spans="1:37" s="14" customFormat="1" hidden="1">
      <c r="A37" s="15"/>
      <c r="B37" s="27" t="s">
        <v>21</v>
      </c>
      <c r="C37" s="15"/>
      <c r="D37" s="34">
        <f>IF(D31=0,0,1)</f>
        <v>0</v>
      </c>
      <c r="E37" s="34">
        <f>IF(E31=0,0,2)</f>
        <v>0</v>
      </c>
      <c r="F37" s="34">
        <f>IF(F31=0,0,3)</f>
        <v>0</v>
      </c>
      <c r="G37" s="34">
        <f>IF(G31=0,0,4)</f>
        <v>4</v>
      </c>
      <c r="H37" s="34">
        <f>IF(H31=0,0,5)</f>
        <v>0</v>
      </c>
      <c r="I37" s="34">
        <f>IF(I31=0,0,6)</f>
        <v>0</v>
      </c>
      <c r="J37" s="34">
        <f>IF(J31=0,0,7)</f>
        <v>0</v>
      </c>
      <c r="K37" s="34">
        <f>IF(K31=0,0,8)</f>
        <v>0</v>
      </c>
      <c r="L37" s="34">
        <f>IF(L31=0,0,9)</f>
        <v>0</v>
      </c>
      <c r="M37" s="34">
        <f>IF(M31=0,0,10)</f>
        <v>0</v>
      </c>
      <c r="N37" s="15"/>
      <c r="P37" s="15"/>
      <c r="Q37" s="15"/>
      <c r="R37" s="15"/>
      <c r="S37" s="15"/>
      <c r="T37" s="15"/>
      <c r="U37" s="15"/>
      <c r="V37" s="15"/>
      <c r="W37" s="15"/>
      <c r="AK37" s="37"/>
    </row>
    <row r="38" spans="1:37" s="14" customFormat="1" hidden="1">
      <c r="A38" s="15"/>
      <c r="B38" s="27" t="s">
        <v>22</v>
      </c>
      <c r="C38" s="15"/>
      <c r="D38" s="39"/>
      <c r="E38" s="40">
        <v>2.1000000000000001E-2</v>
      </c>
      <c r="F38" s="40">
        <v>2.1000000000000001E-2</v>
      </c>
      <c r="G38" s="40">
        <v>2.1000000000000001E-2</v>
      </c>
      <c r="H38" s="40">
        <v>2.1000000000000001E-2</v>
      </c>
      <c r="I38" s="40">
        <v>2.1000000000000001E-2</v>
      </c>
      <c r="J38" s="40">
        <v>2.1000000000000001E-2</v>
      </c>
      <c r="K38" s="40">
        <v>2.1000000000000001E-2</v>
      </c>
      <c r="L38" s="40">
        <v>2.1000000000000001E-2</v>
      </c>
      <c r="M38" s="40">
        <v>2.1000000000000001E-2</v>
      </c>
      <c r="N38" s="15"/>
      <c r="P38" s="15"/>
      <c r="Q38" s="15"/>
      <c r="R38" s="15"/>
      <c r="S38" s="15"/>
      <c r="T38" s="15"/>
      <c r="U38" s="15"/>
      <c r="V38" s="15"/>
      <c r="W38" s="15"/>
      <c r="AK38" s="37"/>
    </row>
    <row r="39" spans="1:37" s="14" customFormat="1" hidden="1">
      <c r="A39" s="15"/>
      <c r="B39" s="27" t="s">
        <v>23</v>
      </c>
      <c r="C39" s="18"/>
      <c r="D39" s="41"/>
      <c r="E39" s="40">
        <f t="shared" ref="E39:M39" si="5">E38+$M$5</f>
        <v>0.10100000000000001</v>
      </c>
      <c r="F39" s="40">
        <f t="shared" si="5"/>
        <v>0.10100000000000001</v>
      </c>
      <c r="G39" s="40">
        <f t="shared" si="5"/>
        <v>0.10100000000000001</v>
      </c>
      <c r="H39" s="40">
        <f t="shared" si="5"/>
        <v>0.10100000000000001</v>
      </c>
      <c r="I39" s="40">
        <f t="shared" si="5"/>
        <v>0.10100000000000001</v>
      </c>
      <c r="J39" s="40">
        <f t="shared" si="5"/>
        <v>0.10100000000000001</v>
      </c>
      <c r="K39" s="40">
        <f t="shared" si="5"/>
        <v>0.10100000000000001</v>
      </c>
      <c r="L39" s="40">
        <f t="shared" si="5"/>
        <v>0.10100000000000001</v>
      </c>
      <c r="M39" s="40">
        <f t="shared" si="5"/>
        <v>0.10100000000000001</v>
      </c>
      <c r="N39" s="15"/>
      <c r="P39" s="39"/>
      <c r="Q39" s="15"/>
      <c r="R39" s="15"/>
      <c r="S39" s="15"/>
      <c r="T39" s="15"/>
      <c r="U39" s="15"/>
      <c r="V39" s="15"/>
      <c r="W39" s="15"/>
      <c r="AK39" s="37"/>
    </row>
    <row r="40" spans="1:37" s="14" customFormat="1" hidden="1">
      <c r="A40" s="15"/>
      <c r="B40" s="15"/>
      <c r="C40" s="15"/>
      <c r="D40" s="15"/>
      <c r="E40" s="15"/>
      <c r="F40" s="15"/>
      <c r="G40" s="15"/>
      <c r="H40" s="15"/>
      <c r="I40" s="15"/>
      <c r="J40" s="42"/>
      <c r="K40" s="15"/>
      <c r="L40" s="15"/>
      <c r="M40" s="15"/>
      <c r="N40" s="15"/>
      <c r="P40" s="15"/>
      <c r="Q40" s="15"/>
      <c r="R40" s="15"/>
      <c r="S40" s="15"/>
      <c r="T40" s="15"/>
      <c r="U40" s="15"/>
      <c r="V40" s="15"/>
      <c r="W40" s="15"/>
      <c r="AK40" s="37"/>
    </row>
    <row r="41" spans="1:37" s="14" customFormat="1" hidden="1">
      <c r="A41" s="15"/>
      <c r="B41" s="31" t="s">
        <v>24</v>
      </c>
      <c r="C41" s="15"/>
      <c r="D41" s="39"/>
      <c r="E41" s="39"/>
      <c r="F41" s="39"/>
      <c r="G41" s="39"/>
      <c r="H41" s="43"/>
      <c r="I41" s="43"/>
      <c r="J41" s="43"/>
      <c r="K41" s="43"/>
      <c r="L41" s="39"/>
      <c r="M41" s="39"/>
      <c r="N41" s="15"/>
      <c r="P41" s="15"/>
      <c r="Q41" s="15"/>
      <c r="R41" s="15"/>
      <c r="S41" s="15"/>
      <c r="T41" s="15"/>
      <c r="U41" s="15"/>
      <c r="V41" s="15"/>
      <c r="W41" s="15"/>
      <c r="AK41" s="37"/>
    </row>
    <row r="42" spans="1:37" s="14" customFormat="1" hidden="1">
      <c r="A42" s="15"/>
      <c r="B42" s="15" t="s">
        <v>25</v>
      </c>
      <c r="C42" s="15"/>
      <c r="D42" s="34">
        <v>1.4330000000000001</v>
      </c>
      <c r="E42" s="34">
        <v>1.4059999999999999</v>
      </c>
      <c r="F42" s="34">
        <v>1.353</v>
      </c>
      <c r="G42" s="34">
        <v>1.391</v>
      </c>
      <c r="H42" s="34">
        <v>1.379</v>
      </c>
      <c r="I42" s="34">
        <v>1.373</v>
      </c>
      <c r="J42" s="34">
        <v>1.3660000000000001</v>
      </c>
      <c r="K42" s="34">
        <v>1.3520000000000001</v>
      </c>
      <c r="L42" s="44">
        <f>K42*0.993</f>
        <v>1.3425360000000002</v>
      </c>
      <c r="M42" s="44">
        <f>L42*0.993</f>
        <v>1.3331382480000002</v>
      </c>
      <c r="N42" s="39"/>
      <c r="P42" s="15"/>
      <c r="Q42" s="15"/>
      <c r="R42" s="15"/>
      <c r="S42" s="15"/>
      <c r="T42" s="15"/>
      <c r="U42" s="15"/>
      <c r="V42" s="15"/>
      <c r="W42" s="15"/>
      <c r="AK42" s="37"/>
    </row>
    <row r="43" spans="1:37" s="14" customFormat="1" hidden="1">
      <c r="A43" s="15"/>
      <c r="B43" s="15" t="s">
        <v>26</v>
      </c>
      <c r="C43" s="15"/>
      <c r="D43" s="33">
        <v>213.6076329891518</v>
      </c>
      <c r="E43" s="33">
        <v>211.45680303228343</v>
      </c>
      <c r="F43" s="33">
        <v>213.80316298523073</v>
      </c>
      <c r="G43" s="33">
        <v>221.49993464906549</v>
      </c>
      <c r="H43" s="33">
        <v>231.08090445693375</v>
      </c>
      <c r="I43" s="33">
        <v>241.05293425695993</v>
      </c>
      <c r="J43" s="33">
        <v>251.30937132400996</v>
      </c>
      <c r="K43" s="33">
        <v>258.59730754149791</v>
      </c>
      <c r="L43" s="33">
        <v>263.80551561887341</v>
      </c>
      <c r="M43" s="33">
        <f>L43*1.021</f>
        <v>269.34543144686972</v>
      </c>
      <c r="N43" s="39"/>
      <c r="P43" s="15"/>
      <c r="Q43" s="15"/>
      <c r="R43" s="15"/>
      <c r="S43" s="15"/>
      <c r="T43" s="15"/>
      <c r="U43" s="15"/>
      <c r="V43" s="15"/>
      <c r="W43" s="15"/>
    </row>
    <row r="44" spans="1:37" s="14" customFormat="1" hidden="1">
      <c r="A44" s="15"/>
      <c r="B44" s="15" t="s">
        <v>27</v>
      </c>
      <c r="C44" s="15"/>
      <c r="D44" s="33">
        <f>D43+D34</f>
        <v>223.6076329891518</v>
      </c>
      <c r="E44" s="33">
        <f t="shared" ref="E44:M44" si="6">E43+E34</f>
        <v>231.45680303228343</v>
      </c>
      <c r="F44" s="33">
        <f t="shared" si="6"/>
        <v>243.80316298523073</v>
      </c>
      <c r="G44" s="33">
        <f t="shared" si="6"/>
        <v>261.49993464906549</v>
      </c>
      <c r="H44" s="33">
        <f t="shared" si="6"/>
        <v>275.12090445693377</v>
      </c>
      <c r="I44" s="33">
        <f t="shared" si="6"/>
        <v>289.54097425695994</v>
      </c>
      <c r="J44" s="33">
        <f t="shared" si="6"/>
        <v>304.69470336400997</v>
      </c>
      <c r="K44" s="33">
        <f t="shared" si="6"/>
        <v>317.3745581175379</v>
      </c>
      <c r="L44" s="33">
        <f t="shared" si="6"/>
        <v>328.51926850309343</v>
      </c>
      <c r="M44" s="33">
        <f t="shared" si="6"/>
        <v>340.59527337239598</v>
      </c>
      <c r="N44" s="15"/>
      <c r="P44" s="15"/>
      <c r="Q44" s="15"/>
      <c r="R44" s="15"/>
      <c r="S44" s="15"/>
      <c r="T44" s="15"/>
      <c r="U44" s="15"/>
      <c r="V44" s="15"/>
      <c r="W44" s="15"/>
    </row>
    <row r="45" spans="1:37" s="14" customFormat="1" hidden="1">
      <c r="A45" s="15"/>
      <c r="B45" s="45" t="s">
        <v>28</v>
      </c>
      <c r="C45" s="15"/>
      <c r="D45" s="44">
        <f>-LN(D42)</f>
        <v>-0.35977014884603481</v>
      </c>
      <c r="E45" s="44">
        <f t="shared" ref="E45:M45" si="7">-LN(E42)</f>
        <v>-0.34074879338847308</v>
      </c>
      <c r="F45" s="44">
        <f t="shared" si="7"/>
        <v>-0.30232434918865098</v>
      </c>
      <c r="G45" s="44">
        <f t="shared" si="7"/>
        <v>-0.33002291294130587</v>
      </c>
      <c r="H45" s="44">
        <f t="shared" si="7"/>
        <v>-0.32135859881116474</v>
      </c>
      <c r="I45" s="44">
        <f t="shared" si="7"/>
        <v>-0.316998126785834</v>
      </c>
      <c r="J45" s="44">
        <f t="shared" si="7"/>
        <v>-0.31188676114859842</v>
      </c>
      <c r="K45" s="44">
        <f t="shared" si="7"/>
        <v>-0.30158497762077241</v>
      </c>
      <c r="L45" s="44">
        <f t="shared" si="7"/>
        <v>-0.29456036268380803</v>
      </c>
      <c r="M45" s="44">
        <f t="shared" si="7"/>
        <v>-0.2875357477468436</v>
      </c>
      <c r="N45" s="15"/>
      <c r="P45" s="15"/>
      <c r="Q45" s="15"/>
      <c r="R45" s="15"/>
      <c r="S45" s="15"/>
      <c r="T45" s="15"/>
      <c r="U45" s="15"/>
      <c r="V45" s="15"/>
      <c r="W45" s="15"/>
      <c r="AK45" s="37"/>
    </row>
    <row r="46" spans="1:37" s="14" customFormat="1" hidden="1">
      <c r="A46" s="15"/>
      <c r="B46" s="15" t="s">
        <v>29</v>
      </c>
      <c r="C46" s="18"/>
      <c r="D46" s="46">
        <v>-1.42</v>
      </c>
      <c r="E46" s="46">
        <v>-1.835</v>
      </c>
      <c r="F46" s="46">
        <v>-2.14</v>
      </c>
      <c r="G46" s="46">
        <v>-2.379</v>
      </c>
      <c r="H46" s="46">
        <v>-2.5960000000000001</v>
      </c>
      <c r="I46" s="46">
        <v>-2.7719999999999998</v>
      </c>
      <c r="J46" s="46">
        <v>-2.9220000000000002</v>
      </c>
      <c r="K46" s="46">
        <v>-3.0489999999999999</v>
      </c>
      <c r="L46" s="46">
        <v>-3.1619999999999999</v>
      </c>
      <c r="M46" s="46">
        <v>-3.0979999999999999</v>
      </c>
      <c r="N46" s="33"/>
      <c r="O46" s="47"/>
      <c r="P46" s="15"/>
      <c r="Q46" s="15"/>
      <c r="R46" s="15"/>
      <c r="S46" s="15"/>
      <c r="T46" s="15"/>
      <c r="U46" s="15"/>
      <c r="V46" s="15"/>
      <c r="W46" s="15"/>
    </row>
    <row r="47" spans="1:37" s="14" customFormat="1" hidden="1">
      <c r="A47" s="15"/>
      <c r="B47" s="15" t="s">
        <v>30</v>
      </c>
      <c r="C47" s="15"/>
      <c r="D47" s="48">
        <f>LN(D44/D43)</f>
        <v>4.5752036085800994E-2</v>
      </c>
      <c r="E47" s="48">
        <f t="shared" ref="E47:M47" si="8">LN(E44/E43)</f>
        <v>9.0372523498045074E-2</v>
      </c>
      <c r="F47" s="48">
        <f t="shared" si="8"/>
        <v>0.13130539803878874</v>
      </c>
      <c r="G47" s="48">
        <f t="shared" si="8"/>
        <v>0.16601173914990719</v>
      </c>
      <c r="H47" s="48">
        <f t="shared" si="8"/>
        <v>0.17444276867049219</v>
      </c>
      <c r="I47" s="48">
        <f t="shared" si="8"/>
        <v>0.18328026797218805</v>
      </c>
      <c r="J47" s="48">
        <f t="shared" si="8"/>
        <v>0.19262556748768744</v>
      </c>
      <c r="K47" s="48">
        <f t="shared" si="8"/>
        <v>0.20481059310885585</v>
      </c>
      <c r="L47" s="48">
        <f t="shared" si="8"/>
        <v>0.21938334382604271</v>
      </c>
      <c r="M47" s="48">
        <f t="shared" si="8"/>
        <v>0.23470020319330778</v>
      </c>
      <c r="N47" s="15"/>
      <c r="P47" s="15"/>
      <c r="Q47" s="15"/>
      <c r="R47" s="15"/>
      <c r="S47" s="15"/>
      <c r="T47" s="15"/>
      <c r="U47" s="15"/>
      <c r="V47" s="15"/>
      <c r="W47" s="15"/>
    </row>
    <row r="48" spans="1:37" s="14" customFormat="1" hidden="1">
      <c r="A48" s="15"/>
      <c r="B48" s="15" t="s">
        <v>31</v>
      </c>
      <c r="C48" s="15"/>
      <c r="D48" s="15">
        <f>D45-(D46*D47)</f>
        <v>-0.29480225760419743</v>
      </c>
      <c r="E48" s="15">
        <f t="shared" ref="E48:M48" si="9">E45-(E46*E47)</f>
        <v>-0.17491521276956037</v>
      </c>
      <c r="F48" s="15">
        <f t="shared" si="9"/>
        <v>-2.133079738564303E-2</v>
      </c>
      <c r="G48" s="15">
        <f t="shared" si="9"/>
        <v>6.4919014496323313E-2</v>
      </c>
      <c r="H48" s="15">
        <f t="shared" si="9"/>
        <v>0.131494828657433</v>
      </c>
      <c r="I48" s="15">
        <f t="shared" si="9"/>
        <v>0.19105477603307125</v>
      </c>
      <c r="J48" s="15">
        <f t="shared" si="9"/>
        <v>0.25096514705042433</v>
      </c>
      <c r="K48" s="15">
        <f t="shared" si="9"/>
        <v>0.32288252076812907</v>
      </c>
      <c r="L48" s="15">
        <f t="shared" si="9"/>
        <v>0.399129770494139</v>
      </c>
      <c r="M48" s="15">
        <f t="shared" si="9"/>
        <v>0.43956548174602389</v>
      </c>
      <c r="N48" s="15"/>
      <c r="P48" s="15"/>
      <c r="Q48" s="15"/>
      <c r="R48" s="15"/>
      <c r="S48" s="15"/>
      <c r="T48" s="15"/>
      <c r="U48" s="15"/>
      <c r="V48" s="15"/>
      <c r="W48" s="15"/>
    </row>
    <row r="49" spans="1:36" s="14" customFormat="1" hidden="1">
      <c r="A49" s="15"/>
      <c r="B49" s="15" t="s">
        <v>32</v>
      </c>
      <c r="C49" s="15"/>
      <c r="D49" s="49">
        <f>EXP(-D48)</f>
        <v>1.3428607919200142</v>
      </c>
      <c r="E49" s="49">
        <f t="shared" ref="E49:M49" si="10">EXP(-E48)</f>
        <v>1.1911452184266187</v>
      </c>
      <c r="F49" s="49">
        <f t="shared" si="10"/>
        <v>1.0215599251031198</v>
      </c>
      <c r="G49" s="49">
        <f t="shared" si="10"/>
        <v>0.93714335533093662</v>
      </c>
      <c r="H49" s="49">
        <f t="shared" si="10"/>
        <v>0.87678380927550792</v>
      </c>
      <c r="I49" s="49">
        <f t="shared" si="10"/>
        <v>0.82608733712457127</v>
      </c>
      <c r="J49" s="49">
        <f t="shared" si="10"/>
        <v>0.77804948840599031</v>
      </c>
      <c r="K49" s="49">
        <f t="shared" si="10"/>
        <v>0.72405891125633226</v>
      </c>
      <c r="L49" s="49">
        <f t="shared" si="10"/>
        <v>0.67090363220819382</v>
      </c>
      <c r="M49" s="49">
        <f t="shared" si="10"/>
        <v>0.64431632747214118</v>
      </c>
      <c r="N49" s="49"/>
      <c r="P49" s="15"/>
      <c r="Q49" s="15"/>
      <c r="R49" s="15"/>
      <c r="S49" s="15"/>
      <c r="T49" s="15"/>
      <c r="U49" s="15"/>
      <c r="V49" s="15"/>
      <c r="W49" s="15"/>
    </row>
    <row r="50" spans="1:36" s="14" customFormat="1" hidden="1">
      <c r="A50" s="15"/>
      <c r="B50" s="15" t="s">
        <v>33</v>
      </c>
      <c r="C50" s="15"/>
      <c r="D50" s="49">
        <f>D42-D49</f>
        <v>9.0139208079985877E-2</v>
      </c>
      <c r="E50" s="49">
        <f t="shared" ref="E50:M50" si="11">E42-E49</f>
        <v>0.21485478157338123</v>
      </c>
      <c r="F50" s="49">
        <f t="shared" si="11"/>
        <v>0.33144007489688021</v>
      </c>
      <c r="G50" s="49">
        <f t="shared" si="11"/>
        <v>0.45385664466906339</v>
      </c>
      <c r="H50" s="49">
        <f t="shared" si="11"/>
        <v>0.50221619072449208</v>
      </c>
      <c r="I50" s="49">
        <f t="shared" si="11"/>
        <v>0.54691266287542872</v>
      </c>
      <c r="J50" s="49">
        <f t="shared" si="11"/>
        <v>0.58795051159400979</v>
      </c>
      <c r="K50" s="49">
        <f t="shared" si="11"/>
        <v>0.62794108874366783</v>
      </c>
      <c r="L50" s="49">
        <f t="shared" si="11"/>
        <v>0.67163236779180635</v>
      </c>
      <c r="M50" s="49">
        <f t="shared" si="11"/>
        <v>0.68882192052785907</v>
      </c>
      <c r="N50" s="15"/>
      <c r="P50" s="15"/>
      <c r="Q50" s="15"/>
      <c r="R50" s="15"/>
      <c r="S50" s="15"/>
      <c r="T50" s="15"/>
      <c r="U50" s="15"/>
      <c r="V50" s="15"/>
      <c r="W50" s="15"/>
    </row>
    <row r="51" spans="1:36" s="14" customFormat="1" hidden="1">
      <c r="A51" s="15"/>
      <c r="B51" s="15" t="s">
        <v>34</v>
      </c>
      <c r="C51" s="15"/>
      <c r="D51" s="50">
        <f>D50/D49</f>
        <v>6.7124759783257493E-2</v>
      </c>
      <c r="E51" s="50">
        <f t="shared" ref="E51:M51" si="12">E50/E49</f>
        <v>0.1803766478256803</v>
      </c>
      <c r="F51" s="50">
        <f t="shared" si="12"/>
        <v>0.32444506362504727</v>
      </c>
      <c r="G51" s="50">
        <f t="shared" si="12"/>
        <v>0.48429799143034147</v>
      </c>
      <c r="H51" s="50">
        <f t="shared" si="12"/>
        <v>0.57279364127341326</v>
      </c>
      <c r="I51" s="50">
        <f t="shared" si="12"/>
        <v>0.66205186582221642</v>
      </c>
      <c r="J51" s="50">
        <f t="shared" si="12"/>
        <v>0.75567238376900536</v>
      </c>
      <c r="K51" s="50">
        <f t="shared" si="12"/>
        <v>0.86725137828096333</v>
      </c>
      <c r="L51" s="50">
        <f t="shared" si="12"/>
        <v>1.0010862000869096</v>
      </c>
      <c r="M51" s="50">
        <f t="shared" si="12"/>
        <v>1.0690741351074053</v>
      </c>
      <c r="N51" s="15"/>
      <c r="P51" s="15"/>
      <c r="Q51" s="15"/>
      <c r="R51" s="15"/>
      <c r="S51" s="15"/>
      <c r="T51" s="15"/>
      <c r="U51" s="15"/>
      <c r="V51" s="15"/>
      <c r="W51" s="15"/>
    </row>
    <row r="52" spans="1:36" s="14" customFormat="1" hidden="1">
      <c r="A52" s="15"/>
      <c r="B52" s="15"/>
      <c r="C52" s="15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15"/>
      <c r="P52" s="15"/>
      <c r="Q52" s="15"/>
      <c r="R52" s="15"/>
      <c r="S52" s="15"/>
      <c r="T52" s="15"/>
      <c r="U52" s="15"/>
      <c r="V52" s="15"/>
      <c r="W52" s="15"/>
    </row>
    <row r="53" spans="1:36" s="14" customFormat="1" hidden="1">
      <c r="A53" s="15"/>
      <c r="B53" s="31" t="s">
        <v>35</v>
      </c>
      <c r="C53" s="15"/>
      <c r="D53" s="39"/>
      <c r="E53" s="39"/>
      <c r="F53" s="39"/>
      <c r="G53" s="39"/>
      <c r="H53" s="43"/>
      <c r="I53" s="43"/>
      <c r="J53" s="43"/>
      <c r="K53" s="43"/>
      <c r="L53" s="43"/>
      <c r="M53" s="39"/>
      <c r="N53" s="15"/>
      <c r="P53" s="15"/>
      <c r="Q53" s="15"/>
      <c r="R53" s="15"/>
      <c r="S53" s="15"/>
      <c r="T53" s="15"/>
      <c r="U53" s="15"/>
      <c r="V53" s="15"/>
      <c r="W53" s="15"/>
    </row>
    <row r="54" spans="1:36" s="14" customFormat="1" hidden="1">
      <c r="A54" s="15"/>
      <c r="B54" s="15" t="s">
        <v>25</v>
      </c>
      <c r="C54" s="15"/>
      <c r="D54" s="34">
        <v>1.758</v>
      </c>
      <c r="E54" s="34">
        <v>1.7350000000000001</v>
      </c>
      <c r="F54" s="34">
        <v>1.7110000000000001</v>
      </c>
      <c r="G54" s="34">
        <v>1.69</v>
      </c>
      <c r="H54" s="34">
        <v>1.6719999999999999</v>
      </c>
      <c r="I54" s="34">
        <v>1.6519999999999999</v>
      </c>
      <c r="J54" s="34">
        <v>1.64</v>
      </c>
      <c r="K54" s="34">
        <v>1.631</v>
      </c>
      <c r="L54" s="46">
        <f>K54*0.991</f>
        <v>1.6163209999999999</v>
      </c>
      <c r="M54" s="46">
        <f>L54*0.991</f>
        <v>1.6017741109999999</v>
      </c>
      <c r="N54" s="15"/>
      <c r="P54" s="15"/>
      <c r="Q54" s="15"/>
      <c r="R54" s="15"/>
      <c r="S54" s="15"/>
      <c r="T54" s="15"/>
      <c r="U54" s="15"/>
      <c r="V54" s="15"/>
      <c r="W54" s="15"/>
    </row>
    <row r="55" spans="1:36" s="14" customFormat="1" hidden="1">
      <c r="A55" s="15"/>
      <c r="B55" s="15" t="s">
        <v>26</v>
      </c>
      <c r="C55" s="15"/>
      <c r="D55" s="33">
        <v>486.89975166644894</v>
      </c>
      <c r="E55" s="33">
        <v>481.9971245588813</v>
      </c>
      <c r="F55" s="33">
        <v>487.3454450398641</v>
      </c>
      <c r="G55" s="33">
        <v>504.88955692066395</v>
      </c>
      <c r="H55" s="33">
        <v>526.72853221801074</v>
      </c>
      <c r="I55" s="33">
        <v>549.4588942621881</v>
      </c>
      <c r="J55" s="33">
        <v>572.83753757678744</v>
      </c>
      <c r="K55" s="33">
        <v>589.44974513135548</v>
      </c>
      <c r="L55" s="15">
        <v>601.32139589596136</v>
      </c>
      <c r="M55" s="33">
        <f>L55*1.021</f>
        <v>613.94914520977647</v>
      </c>
      <c r="N55" s="15"/>
      <c r="P55" s="15"/>
      <c r="Q55" s="15"/>
      <c r="R55" s="15"/>
      <c r="S55" s="15"/>
      <c r="T55" s="15"/>
      <c r="U55" s="15"/>
      <c r="V55" s="15"/>
      <c r="W55" s="15"/>
    </row>
    <row r="56" spans="1:36" s="14" customFormat="1" hidden="1">
      <c r="A56" s="15"/>
      <c r="B56" s="15" t="s">
        <v>27</v>
      </c>
      <c r="C56" s="15"/>
      <c r="D56" s="33">
        <f>D55+D34</f>
        <v>496.89975166644894</v>
      </c>
      <c r="E56" s="33">
        <f t="shared" ref="E56:M56" si="13">E55+E34</f>
        <v>501.9971245588813</v>
      </c>
      <c r="F56" s="33">
        <f t="shared" si="13"/>
        <v>517.3454450398641</v>
      </c>
      <c r="G56" s="33">
        <f t="shared" si="13"/>
        <v>544.88955692066395</v>
      </c>
      <c r="H56" s="33">
        <f t="shared" si="13"/>
        <v>570.76853221801071</v>
      </c>
      <c r="I56" s="33">
        <f t="shared" si="13"/>
        <v>597.94693426218805</v>
      </c>
      <c r="J56" s="33">
        <f t="shared" si="13"/>
        <v>626.22286961678742</v>
      </c>
      <c r="K56" s="33">
        <f t="shared" si="13"/>
        <v>648.22699570739542</v>
      </c>
      <c r="L56" s="33">
        <f t="shared" si="13"/>
        <v>666.03514878018143</v>
      </c>
      <c r="M56" s="33">
        <f t="shared" si="13"/>
        <v>685.19898713530279</v>
      </c>
      <c r="N56" s="15"/>
      <c r="P56" s="15"/>
      <c r="Q56" s="15"/>
      <c r="R56" s="15"/>
      <c r="S56" s="15"/>
      <c r="T56" s="15"/>
      <c r="U56" s="15"/>
      <c r="V56" s="15"/>
      <c r="W56" s="15"/>
    </row>
    <row r="57" spans="1:36" s="14" customFormat="1" hidden="1">
      <c r="A57" s="15"/>
      <c r="B57" s="45" t="s">
        <v>28</v>
      </c>
      <c r="C57" s="15"/>
      <c r="D57" s="44">
        <f>-LN(D54)</f>
        <v>-0.56417679926298525</v>
      </c>
      <c r="E57" s="44">
        <f t="shared" ref="E57:M57" si="14">-LN(E54)</f>
        <v>-0.55100741339882253</v>
      </c>
      <c r="F57" s="44">
        <f t="shared" si="14"/>
        <v>-0.53707799491005648</v>
      </c>
      <c r="G57" s="44">
        <f t="shared" si="14"/>
        <v>-0.52472852893498212</v>
      </c>
      <c r="H57" s="44">
        <f t="shared" si="14"/>
        <v>-0.51402051466250986</v>
      </c>
      <c r="I57" s="44">
        <f t="shared" si="14"/>
        <v>-0.50198667509878625</v>
      </c>
      <c r="J57" s="44">
        <f t="shared" si="14"/>
        <v>-0.494696241836107</v>
      </c>
      <c r="K57" s="44">
        <f t="shared" si="14"/>
        <v>-0.4891933236388768</v>
      </c>
      <c r="L57" s="44">
        <f t="shared" si="14"/>
        <v>-0.4801525789867277</v>
      </c>
      <c r="M57" s="44">
        <f t="shared" si="14"/>
        <v>-0.47111183433457865</v>
      </c>
      <c r="N57" s="15"/>
      <c r="P57" s="15"/>
      <c r="Q57" s="15"/>
      <c r="R57" s="15"/>
      <c r="S57" s="15"/>
      <c r="T57" s="15"/>
      <c r="U57" s="15"/>
      <c r="V57" s="15"/>
      <c r="W57" s="15"/>
    </row>
    <row r="58" spans="1:36" s="14" customFormat="1" hidden="1">
      <c r="A58" s="15"/>
      <c r="B58" s="15" t="s">
        <v>29</v>
      </c>
      <c r="C58" s="18"/>
      <c r="D58" s="15">
        <v>-0.30599999999999999</v>
      </c>
      <c r="E58" s="52">
        <v>-0.311</v>
      </c>
      <c r="F58" s="52">
        <v>-0.314</v>
      </c>
      <c r="G58" s="52">
        <v>-0.317</v>
      </c>
      <c r="H58" s="52">
        <v>-0.31900000000000001</v>
      </c>
      <c r="I58" s="52">
        <v>-0.32100000000000001</v>
      </c>
      <c r="J58" s="52">
        <v>-0.32300000000000001</v>
      </c>
      <c r="K58" s="52">
        <v>-0.32400000000000001</v>
      </c>
      <c r="L58" s="52">
        <v>-0.32500000000000001</v>
      </c>
      <c r="M58" s="15">
        <v>-0.32700000000000001</v>
      </c>
      <c r="N58" s="15"/>
      <c r="P58" s="15"/>
      <c r="Q58" s="15"/>
      <c r="R58" s="15"/>
      <c r="S58" s="15"/>
      <c r="T58" s="15"/>
      <c r="U58" s="15"/>
      <c r="V58" s="15"/>
      <c r="W58" s="15"/>
      <c r="AJ58" s="53"/>
    </row>
    <row r="59" spans="1:36" s="14" customFormat="1" hidden="1">
      <c r="B59" s="15" t="s">
        <v>30</v>
      </c>
      <c r="C59" s="15"/>
      <c r="D59" s="48">
        <f t="shared" ref="D59:M59" si="15">LN(D56/D55)</f>
        <v>2.033004568386091E-2</v>
      </c>
      <c r="E59" s="48">
        <f t="shared" si="15"/>
        <v>4.065624331763714E-2</v>
      </c>
      <c r="F59" s="48">
        <f t="shared" si="15"/>
        <v>5.9737619249103591E-2</v>
      </c>
      <c r="G59" s="48">
        <f t="shared" si="15"/>
        <v>7.6243420085193248E-2</v>
      </c>
      <c r="H59" s="48">
        <f t="shared" si="15"/>
        <v>8.0298458131325898E-2</v>
      </c>
      <c r="I59" s="48">
        <f t="shared" si="15"/>
        <v>8.4568045985842277E-2</v>
      </c>
      <c r="J59" s="48">
        <f t="shared" si="15"/>
        <v>8.9104182513209715E-2</v>
      </c>
      <c r="K59" s="48">
        <f t="shared" si="15"/>
        <v>9.505147067421342E-2</v>
      </c>
      <c r="L59" s="48">
        <f t="shared" si="15"/>
        <v>0.10221288495084789</v>
      </c>
      <c r="M59" s="48">
        <f t="shared" si="15"/>
        <v>0.10979718892018323</v>
      </c>
      <c r="N59" s="24"/>
      <c r="P59" s="15"/>
      <c r="Q59" s="15"/>
      <c r="R59" s="15"/>
      <c r="S59" s="15"/>
      <c r="T59" s="15"/>
      <c r="U59" s="15"/>
      <c r="V59" s="15"/>
      <c r="W59" s="15"/>
      <c r="AJ59" s="53"/>
    </row>
    <row r="60" spans="1:36" s="14" customFormat="1" hidden="1">
      <c r="B60" s="15" t="s">
        <v>31</v>
      </c>
      <c r="C60" s="15"/>
      <c r="D60" s="15">
        <f>D57-(D58*D59)</f>
        <v>-0.55795580528372379</v>
      </c>
      <c r="E60" s="15">
        <f t="shared" ref="E60:M60" si="16">E57-(E58*E59)</f>
        <v>-0.53836332172703738</v>
      </c>
      <c r="F60" s="15">
        <f t="shared" si="16"/>
        <v>-0.518320382465838</v>
      </c>
      <c r="G60" s="15">
        <f t="shared" si="16"/>
        <v>-0.50055936476797591</v>
      </c>
      <c r="H60" s="15">
        <f t="shared" si="16"/>
        <v>-0.48840530651861691</v>
      </c>
      <c r="I60" s="15">
        <f t="shared" si="16"/>
        <v>-0.47484033233733086</v>
      </c>
      <c r="J60" s="15">
        <f t="shared" si="16"/>
        <v>-0.46591559088434026</v>
      </c>
      <c r="K60" s="15">
        <f t="shared" si="16"/>
        <v>-0.45839664714043166</v>
      </c>
      <c r="L60" s="15">
        <f t="shared" si="16"/>
        <v>-0.44693339137770216</v>
      </c>
      <c r="M60" s="15">
        <f t="shared" si="16"/>
        <v>-0.43520815355767872</v>
      </c>
      <c r="P60" s="15"/>
      <c r="Q60" s="15"/>
      <c r="R60" s="15"/>
      <c r="S60" s="15"/>
      <c r="T60" s="15"/>
      <c r="U60" s="15"/>
      <c r="V60" s="15"/>
      <c r="W60" s="15"/>
      <c r="AJ60" s="53"/>
    </row>
    <row r="61" spans="1:36" s="14" customFormat="1" hidden="1">
      <c r="B61" s="15" t="s">
        <v>32</v>
      </c>
      <c r="C61" s="15"/>
      <c r="D61" s="49">
        <f>EXP(-D60)</f>
        <v>1.7470974401255561</v>
      </c>
      <c r="E61" s="49">
        <f t="shared" ref="E61:M61" si="17">EXP(-E60)</f>
        <v>1.7132006081312146</v>
      </c>
      <c r="F61" s="49">
        <f t="shared" si="17"/>
        <v>1.6792048578344805</v>
      </c>
      <c r="G61" s="49">
        <f t="shared" si="17"/>
        <v>1.6496437652725984</v>
      </c>
      <c r="H61" s="49">
        <f t="shared" si="17"/>
        <v>1.6297152503457002</v>
      </c>
      <c r="I61" s="49">
        <f t="shared" si="17"/>
        <v>1.6077574701134068</v>
      </c>
      <c r="J61" s="49">
        <f t="shared" si="17"/>
        <v>1.5934724900679451</v>
      </c>
      <c r="K61" s="49">
        <f t="shared" si="17"/>
        <v>1.5815361904745908</v>
      </c>
      <c r="L61" s="49">
        <f t="shared" si="17"/>
        <v>1.5635101525607109</v>
      </c>
      <c r="M61" s="49">
        <f t="shared" si="17"/>
        <v>1.545284681980869</v>
      </c>
      <c r="P61" s="15"/>
      <c r="Q61" s="15"/>
      <c r="R61" s="15"/>
      <c r="S61" s="15"/>
      <c r="T61" s="15"/>
      <c r="U61" s="15"/>
      <c r="V61" s="15"/>
      <c r="W61" s="15"/>
      <c r="AJ61" s="53"/>
    </row>
    <row r="62" spans="1:36" s="14" customFormat="1" hidden="1">
      <c r="B62" s="15" t="s">
        <v>33</v>
      </c>
      <c r="C62" s="15"/>
      <c r="D62" s="49">
        <f>D54-D61</f>
        <v>1.0902559874443885E-2</v>
      </c>
      <c r="E62" s="49">
        <f t="shared" ref="E62:M62" si="18">E54-E61</f>
        <v>2.1799391868785545E-2</v>
      </c>
      <c r="F62" s="49">
        <f t="shared" si="18"/>
        <v>3.1795142165519596E-2</v>
      </c>
      <c r="G62" s="49">
        <f t="shared" si="18"/>
        <v>4.0356234727401574E-2</v>
      </c>
      <c r="H62" s="49">
        <f t="shared" si="18"/>
        <v>4.2284749654299736E-2</v>
      </c>
      <c r="I62" s="49">
        <f t="shared" si="18"/>
        <v>4.4242529886593163E-2</v>
      </c>
      <c r="J62" s="49">
        <f t="shared" si="18"/>
        <v>4.6527509932054789E-2</v>
      </c>
      <c r="K62" s="49">
        <f t="shared" si="18"/>
        <v>4.9463809525409186E-2</v>
      </c>
      <c r="L62" s="49">
        <f t="shared" si="18"/>
        <v>5.2810847439288988E-2</v>
      </c>
      <c r="M62" s="49">
        <f t="shared" si="18"/>
        <v>5.6489429019130899E-2</v>
      </c>
      <c r="P62" s="15"/>
      <c r="Q62" s="15"/>
      <c r="R62" s="15"/>
      <c r="S62" s="15"/>
      <c r="T62" s="15"/>
      <c r="U62" s="15"/>
      <c r="V62" s="15"/>
      <c r="W62" s="15"/>
      <c r="AJ62" s="53"/>
    </row>
    <row r="63" spans="1:36" s="14" customFormat="1" hidden="1">
      <c r="B63" s="15" t="s">
        <v>34</v>
      </c>
      <c r="C63" s="15"/>
      <c r="D63" s="50">
        <f>D62/D61</f>
        <v>6.2403845509958313E-3</v>
      </c>
      <c r="E63" s="50">
        <f t="shared" ref="E63:M63" si="19">E62/E61</f>
        <v>1.2724366174819804E-2</v>
      </c>
      <c r="F63" s="50">
        <f t="shared" si="19"/>
        <v>1.8934641605624542E-2</v>
      </c>
      <c r="G63" s="50">
        <f t="shared" si="19"/>
        <v>2.4463605765656222E-2</v>
      </c>
      <c r="H63" s="50">
        <f t="shared" si="19"/>
        <v>2.5946096807604988E-2</v>
      </c>
      <c r="I63" s="50">
        <f t="shared" si="19"/>
        <v>2.7518161606471914E-2</v>
      </c>
      <c r="J63" s="50">
        <f t="shared" si="19"/>
        <v>2.9198815933164226E-2</v>
      </c>
      <c r="K63" s="50">
        <f t="shared" si="19"/>
        <v>3.127579996166005E-2</v>
      </c>
      <c r="L63" s="50">
        <f t="shared" si="19"/>
        <v>3.3777105542164586E-2</v>
      </c>
      <c r="M63" s="50">
        <f t="shared" si="19"/>
        <v>3.6556001413744842E-2</v>
      </c>
      <c r="P63" s="15"/>
      <c r="Q63" s="15"/>
      <c r="R63" s="15"/>
      <c r="S63" s="15"/>
      <c r="T63" s="15"/>
      <c r="U63" s="15"/>
      <c r="V63" s="15"/>
      <c r="W63" s="15"/>
      <c r="AJ63" s="53"/>
    </row>
    <row r="64" spans="1:36" s="14" customFormat="1" hidden="1">
      <c r="P64" s="15"/>
      <c r="Q64" s="15"/>
      <c r="R64" s="15"/>
      <c r="S64" s="15"/>
      <c r="T64" s="15"/>
      <c r="U64" s="15"/>
      <c r="V64" s="15"/>
      <c r="W64" s="15"/>
      <c r="AJ64" s="53"/>
    </row>
    <row r="65" spans="2:37" s="14" customFormat="1" hidden="1">
      <c r="B65" s="31" t="s">
        <v>36</v>
      </c>
      <c r="C65" s="15"/>
      <c r="D65" s="39"/>
      <c r="E65" s="39"/>
      <c r="F65" s="39"/>
      <c r="G65" s="39"/>
      <c r="H65" s="54"/>
      <c r="I65" s="54"/>
      <c r="J65" s="54"/>
      <c r="K65" s="54"/>
      <c r="L65" s="43"/>
      <c r="M65" s="39"/>
      <c r="P65" s="15"/>
      <c r="Q65" s="15"/>
      <c r="R65" s="15"/>
      <c r="S65" s="15"/>
      <c r="T65" s="15"/>
      <c r="U65" s="15"/>
      <c r="V65" s="15"/>
      <c r="W65" s="15"/>
      <c r="AJ65" s="53"/>
    </row>
    <row r="66" spans="2:37" s="14" customFormat="1" hidden="1">
      <c r="B66" s="15" t="s">
        <v>25</v>
      </c>
      <c r="C66" s="15"/>
      <c r="D66" s="34">
        <v>1.528</v>
      </c>
      <c r="E66" s="34">
        <v>1.5389999999999999</v>
      </c>
      <c r="F66" s="34">
        <v>1.5549999999999999</v>
      </c>
      <c r="G66" s="34">
        <v>1.56</v>
      </c>
      <c r="H66" s="34">
        <v>1.5589999999999999</v>
      </c>
      <c r="I66" s="34">
        <v>1.5680000000000001</v>
      </c>
      <c r="J66" s="34">
        <v>1.575</v>
      </c>
      <c r="K66" s="34">
        <v>1.5780000000000001</v>
      </c>
      <c r="L66" s="46">
        <f>K66*1.003</f>
        <v>1.5827339999999999</v>
      </c>
      <c r="M66" s="46">
        <f>L66*1.003</f>
        <v>1.5874822019999997</v>
      </c>
      <c r="P66" s="15"/>
      <c r="Q66" s="15"/>
      <c r="R66" s="15"/>
      <c r="S66" s="15"/>
      <c r="T66" s="15"/>
      <c r="U66" s="15"/>
      <c r="V66" s="15"/>
      <c r="W66" s="15"/>
    </row>
    <row r="67" spans="2:37" s="14" customFormat="1" hidden="1">
      <c r="B67" s="15" t="s">
        <v>26</v>
      </c>
      <c r="C67" s="15"/>
      <c r="D67" s="33">
        <v>160.20572474186383</v>
      </c>
      <c r="E67" s="33">
        <v>158.59260227421254</v>
      </c>
      <c r="F67" s="33">
        <v>160.35237223892301</v>
      </c>
      <c r="G67" s="33">
        <v>166.12495098679909</v>
      </c>
      <c r="H67" s="33">
        <v>173.31067834270027</v>
      </c>
      <c r="I67" s="33">
        <v>180.78970069271989</v>
      </c>
      <c r="J67" s="33">
        <v>188.48202849300739</v>
      </c>
      <c r="K67" s="33">
        <v>193.94798065612332</v>
      </c>
      <c r="L67" s="33">
        <v>197.85413671415492</v>
      </c>
      <c r="M67" s="33">
        <f>L67*1.02</f>
        <v>201.81121944843801</v>
      </c>
      <c r="P67" s="15"/>
      <c r="Q67" s="15"/>
      <c r="R67" s="15"/>
      <c r="S67" s="15"/>
      <c r="T67" s="15"/>
      <c r="U67" s="15"/>
      <c r="V67" s="15"/>
      <c r="W67" s="15"/>
    </row>
    <row r="68" spans="2:37" s="14" customFormat="1" hidden="1">
      <c r="B68" s="15" t="s">
        <v>27</v>
      </c>
      <c r="C68" s="15"/>
      <c r="D68" s="33">
        <f>D67+D34</f>
        <v>170.20572474186383</v>
      </c>
      <c r="E68" s="33">
        <f t="shared" ref="E68:M68" si="20">E67+E34</f>
        <v>178.59260227421254</v>
      </c>
      <c r="F68" s="33">
        <f t="shared" si="20"/>
        <v>190.35237223892301</v>
      </c>
      <c r="G68" s="33">
        <f t="shared" si="20"/>
        <v>206.12495098679909</v>
      </c>
      <c r="H68" s="33">
        <f t="shared" si="20"/>
        <v>217.35067834270026</v>
      </c>
      <c r="I68" s="33">
        <f t="shared" si="20"/>
        <v>229.27774069271987</v>
      </c>
      <c r="J68" s="33">
        <f t="shared" si="20"/>
        <v>241.8673605330074</v>
      </c>
      <c r="K68" s="33">
        <f t="shared" si="20"/>
        <v>252.72523123216331</v>
      </c>
      <c r="L68" s="33">
        <f t="shared" si="20"/>
        <v>262.56788959837496</v>
      </c>
      <c r="M68" s="33">
        <f t="shared" si="20"/>
        <v>273.06106137396426</v>
      </c>
      <c r="P68" s="15"/>
      <c r="Q68" s="15"/>
      <c r="R68" s="15"/>
      <c r="S68" s="15"/>
      <c r="T68" s="15"/>
      <c r="U68" s="15"/>
      <c r="V68" s="15"/>
      <c r="W68" s="15"/>
    </row>
    <row r="69" spans="2:37" s="14" customFormat="1" hidden="1">
      <c r="B69" s="45" t="s">
        <v>28</v>
      </c>
      <c r="C69" s="15"/>
      <c r="D69" s="44">
        <f>-LN(D66)</f>
        <v>-0.42395969074432877</v>
      </c>
      <c r="E69" s="44">
        <f t="shared" ref="E69:M69" si="21">-LN(E66)</f>
        <v>-0.43113285485674213</v>
      </c>
      <c r="F69" s="44">
        <f t="shared" si="21"/>
        <v>-0.4414755456311974</v>
      </c>
      <c r="G69" s="44">
        <f t="shared" si="21"/>
        <v>-0.44468582126144574</v>
      </c>
      <c r="H69" s="44">
        <f t="shared" si="21"/>
        <v>-0.44404459007563946</v>
      </c>
      <c r="I69" s="44">
        <f t="shared" si="21"/>
        <v>-0.44980092192821614</v>
      </c>
      <c r="J69" s="44">
        <f t="shared" si="21"/>
        <v>-0.45425527227759638</v>
      </c>
      <c r="K69" s="44">
        <f t="shared" si="21"/>
        <v>-0.45615822242368254</v>
      </c>
      <c r="L69" s="44">
        <f t="shared" si="21"/>
        <v>-0.45915373140348087</v>
      </c>
      <c r="M69" s="44">
        <f t="shared" si="21"/>
        <v>-0.46214924038327926</v>
      </c>
      <c r="P69" s="15"/>
      <c r="Q69" s="15"/>
      <c r="R69" s="15"/>
      <c r="S69" s="15"/>
      <c r="T69" s="15"/>
      <c r="U69" s="15"/>
      <c r="V69" s="15"/>
      <c r="W69" s="15"/>
    </row>
    <row r="70" spans="2:37" s="14" customFormat="1" hidden="1">
      <c r="B70" s="15" t="s">
        <v>29</v>
      </c>
      <c r="C70" s="18"/>
      <c r="D70" s="46">
        <v>-0.20899999999999999</v>
      </c>
      <c r="E70" s="46">
        <v>-0.24</v>
      </c>
      <c r="F70" s="46">
        <v>-0.26300000000000001</v>
      </c>
      <c r="G70" s="46">
        <v>-0.28100000000000003</v>
      </c>
      <c r="H70" s="46">
        <v>-0.29799999999999999</v>
      </c>
      <c r="I70" s="46">
        <v>-0.313</v>
      </c>
      <c r="J70" s="46">
        <v>-0.32600000000000001</v>
      </c>
      <c r="K70" s="46">
        <v>-0.33800000000000002</v>
      </c>
      <c r="L70" s="46">
        <v>-0.34799999999999998</v>
      </c>
      <c r="M70" s="46">
        <v>-0.34300000000000003</v>
      </c>
      <c r="P70" s="15"/>
      <c r="Q70" s="15"/>
      <c r="R70" s="15"/>
      <c r="S70" s="15"/>
      <c r="T70" s="15"/>
      <c r="U70" s="15"/>
      <c r="V70" s="15"/>
      <c r="W70" s="15"/>
    </row>
    <row r="71" spans="2:37" s="14" customFormat="1" hidden="1">
      <c r="B71" s="15" t="s">
        <v>30</v>
      </c>
      <c r="C71" s="15"/>
      <c r="D71" s="48">
        <f>LN(D68/D67)</f>
        <v>6.0549081991001535E-2</v>
      </c>
      <c r="E71" s="48">
        <f t="shared" ref="E71:M71" si="22">LN(E68/E67)</f>
        <v>0.11876858275502222</v>
      </c>
      <c r="F71" s="48">
        <f t="shared" si="22"/>
        <v>0.17150322510077032</v>
      </c>
      <c r="G71" s="48">
        <f t="shared" si="22"/>
        <v>0.21574232110057462</v>
      </c>
      <c r="H71" s="48">
        <f t="shared" si="22"/>
        <v>0.22642626590324336</v>
      </c>
      <c r="I71" s="48">
        <f t="shared" si="22"/>
        <v>0.23759962896875528</v>
      </c>
      <c r="J71" s="48">
        <f t="shared" si="22"/>
        <v>0.24938681614227221</v>
      </c>
      <c r="K71" s="48">
        <f t="shared" si="22"/>
        <v>0.26471287383604103</v>
      </c>
      <c r="L71" s="48">
        <f t="shared" si="22"/>
        <v>0.28297959968666181</v>
      </c>
      <c r="M71" s="48">
        <f t="shared" si="22"/>
        <v>0.30236273496707616</v>
      </c>
      <c r="P71" s="15"/>
      <c r="Q71" s="15"/>
      <c r="R71" s="15"/>
      <c r="S71" s="15"/>
      <c r="T71" s="15"/>
      <c r="U71" s="15"/>
      <c r="V71" s="15"/>
      <c r="W71" s="15"/>
    </row>
    <row r="72" spans="2:37" s="14" customFormat="1" hidden="1">
      <c r="B72" s="15" t="s">
        <v>31</v>
      </c>
      <c r="C72" s="15"/>
      <c r="D72" s="15">
        <f>D69-(D70*D71)</f>
        <v>-0.41130493260820944</v>
      </c>
      <c r="E72" s="15">
        <f t="shared" ref="E72:M72" si="23">E69-(E70*E71)</f>
        <v>-0.40262839499553682</v>
      </c>
      <c r="F72" s="15">
        <f t="shared" si="23"/>
        <v>-0.39637019742969481</v>
      </c>
      <c r="G72" s="15">
        <f t="shared" si="23"/>
        <v>-0.38406222903218423</v>
      </c>
      <c r="H72" s="15">
        <f t="shared" si="23"/>
        <v>-0.37656956283647292</v>
      </c>
      <c r="I72" s="15">
        <f t="shared" si="23"/>
        <v>-0.37543223806099574</v>
      </c>
      <c r="J72" s="15">
        <f t="shared" si="23"/>
        <v>-0.37295517021521563</v>
      </c>
      <c r="K72" s="15">
        <f t="shared" si="23"/>
        <v>-0.36668527106710069</v>
      </c>
      <c r="L72" s="15">
        <f t="shared" si="23"/>
        <v>-0.36067683071252254</v>
      </c>
      <c r="M72" s="15">
        <f t="shared" si="23"/>
        <v>-0.35843882228957213</v>
      </c>
      <c r="P72" s="15"/>
      <c r="Q72" s="15"/>
      <c r="R72" s="15"/>
      <c r="S72" s="15"/>
      <c r="T72" s="15"/>
      <c r="U72" s="15"/>
      <c r="V72" s="15"/>
      <c r="W72" s="15"/>
      <c r="AK72" s="16"/>
    </row>
    <row r="73" spans="2:37" hidden="1">
      <c r="B73" s="15" t="s">
        <v>32</v>
      </c>
      <c r="C73" s="15"/>
      <c r="D73" s="49">
        <f>EXP(-D72)</f>
        <v>1.5087853642751738</v>
      </c>
      <c r="E73" s="49">
        <f t="shared" ref="E73:M73" si="24">EXP(-E72)</f>
        <v>1.4957509598343499</v>
      </c>
      <c r="F73" s="49">
        <f t="shared" si="24"/>
        <v>1.4864194843824998</v>
      </c>
      <c r="G73" s="49">
        <f t="shared" si="24"/>
        <v>1.4682368057946515</v>
      </c>
      <c r="H73" s="49">
        <f t="shared" si="24"/>
        <v>1.4572769082136805</v>
      </c>
      <c r="I73" s="49">
        <f t="shared" si="24"/>
        <v>1.4556204532234414</v>
      </c>
      <c r="J73" s="49">
        <f t="shared" si="24"/>
        <v>1.4520192446634439</v>
      </c>
      <c r="K73" s="49">
        <f t="shared" si="24"/>
        <v>1.4429437115082326</v>
      </c>
      <c r="L73" s="49">
        <f t="shared" si="24"/>
        <v>1.4342998643073266</v>
      </c>
      <c r="M73" s="49">
        <f t="shared" si="24"/>
        <v>1.4310934784275871</v>
      </c>
    </row>
    <row r="74" spans="2:37" hidden="1">
      <c r="B74" s="15" t="s">
        <v>33</v>
      </c>
      <c r="C74" s="15"/>
      <c r="D74" s="49">
        <f>D66-D73</f>
        <v>1.9214635724826179E-2</v>
      </c>
      <c r="E74" s="49">
        <f t="shared" ref="E74:M74" si="25">E66-E73</f>
        <v>4.324904016565001E-2</v>
      </c>
      <c r="F74" s="49">
        <f t="shared" si="25"/>
        <v>6.8580515617500115E-2</v>
      </c>
      <c r="G74" s="49">
        <f t="shared" si="25"/>
        <v>9.1763194205348508E-2</v>
      </c>
      <c r="H74" s="49">
        <f t="shared" si="25"/>
        <v>0.10172309178631944</v>
      </c>
      <c r="I74" s="49">
        <f t="shared" si="25"/>
        <v>0.1123795467765587</v>
      </c>
      <c r="J74" s="49">
        <f t="shared" si="25"/>
        <v>0.12298075533655606</v>
      </c>
      <c r="K74" s="49">
        <f t="shared" si="25"/>
        <v>0.13505628849176743</v>
      </c>
      <c r="L74" s="49">
        <f t="shared" si="25"/>
        <v>0.14843413569267327</v>
      </c>
      <c r="M74" s="49">
        <f t="shared" si="25"/>
        <v>0.15638872357241262</v>
      </c>
    </row>
    <row r="75" spans="2:37" hidden="1">
      <c r="B75" s="15" t="s">
        <v>34</v>
      </c>
      <c r="C75" s="15"/>
      <c r="D75" s="50">
        <f>D74/D73</f>
        <v>1.2735168420762725E-2</v>
      </c>
      <c r="E75" s="50">
        <f t="shared" ref="E75:M75" si="26">E74/E73</f>
        <v>2.8914599640597734E-2</v>
      </c>
      <c r="F75" s="50">
        <f t="shared" si="26"/>
        <v>4.6138062867219734E-2</v>
      </c>
      <c r="G75" s="50">
        <f t="shared" si="26"/>
        <v>6.2498906064191499E-2</v>
      </c>
      <c r="H75" s="50">
        <f t="shared" si="26"/>
        <v>6.9803543316287686E-2</v>
      </c>
      <c r="I75" s="50">
        <f t="shared" si="26"/>
        <v>7.7203879986500967E-2</v>
      </c>
      <c r="J75" s="50">
        <f t="shared" si="26"/>
        <v>8.4696367343988707E-2</v>
      </c>
      <c r="K75" s="50">
        <f t="shared" si="26"/>
        <v>9.359775257664088E-2</v>
      </c>
      <c r="L75" s="50">
        <f t="shared" si="26"/>
        <v>0.10348891426853568</v>
      </c>
      <c r="M75" s="50">
        <f t="shared" si="26"/>
        <v>0.10927918122039423</v>
      </c>
    </row>
    <row r="76" spans="2:37" hidden="1"/>
    <row r="77" spans="2:37" hidden="1">
      <c r="B77" s="17" t="s">
        <v>37</v>
      </c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</row>
    <row r="78" spans="2:37" hidden="1">
      <c r="B78" s="17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</row>
    <row r="79" spans="2:37" hidden="1">
      <c r="B79" s="14" t="s">
        <v>38</v>
      </c>
      <c r="C79" s="14"/>
      <c r="D79" s="55">
        <f>D73+D61+D49</f>
        <v>4.5987435963207437</v>
      </c>
      <c r="E79" s="55">
        <f t="shared" ref="E79:M79" si="27">E73+E61+E49</f>
        <v>4.4000967863921829</v>
      </c>
      <c r="F79" s="55">
        <f t="shared" si="27"/>
        <v>4.1871842673201005</v>
      </c>
      <c r="G79" s="55">
        <f t="shared" si="27"/>
        <v>4.0550239263981869</v>
      </c>
      <c r="H79" s="55">
        <f t="shared" si="27"/>
        <v>3.9637759678348887</v>
      </c>
      <c r="I79" s="55">
        <f t="shared" si="27"/>
        <v>3.889465260461419</v>
      </c>
      <c r="J79" s="55">
        <f t="shared" si="27"/>
        <v>3.8235412231373793</v>
      </c>
      <c r="K79" s="55">
        <f t="shared" si="27"/>
        <v>3.7485388132391559</v>
      </c>
      <c r="L79" s="55">
        <f t="shared" si="27"/>
        <v>3.6687136490762313</v>
      </c>
      <c r="M79" s="55">
        <f t="shared" si="27"/>
        <v>3.6206944878805971</v>
      </c>
    </row>
    <row r="80" spans="2:37" hidden="1">
      <c r="B80" s="14" t="s">
        <v>39</v>
      </c>
      <c r="C80" s="14"/>
      <c r="D80" s="14">
        <f>D34*D79</f>
        <v>45.987435963207439</v>
      </c>
      <c r="E80" s="14">
        <f t="shared" ref="E80:M80" si="28">E34*E79</f>
        <v>88.001935727843659</v>
      </c>
      <c r="F80" s="14">
        <f t="shared" si="28"/>
        <v>125.61552801960302</v>
      </c>
      <c r="G80" s="14">
        <f t="shared" si="28"/>
        <v>162.20095705592746</v>
      </c>
      <c r="H80" s="14">
        <f t="shared" si="28"/>
        <v>174.56469362344851</v>
      </c>
      <c r="I80" s="14">
        <f t="shared" si="28"/>
        <v>188.5925471278637</v>
      </c>
      <c r="J80" s="14">
        <f t="shared" si="28"/>
        <v>204.1210177658167</v>
      </c>
      <c r="K80" s="14">
        <f t="shared" si="28"/>
        <v>220.32880511976944</v>
      </c>
      <c r="L80" s="14">
        <f t="shared" si="28"/>
        <v>237.41622848928435</v>
      </c>
      <c r="M80" s="14">
        <f t="shared" si="28"/>
        <v>257.97390992211677</v>
      </c>
    </row>
    <row r="81" spans="2:13" hidden="1">
      <c r="B81" s="14" t="s">
        <v>40</v>
      </c>
      <c r="C81" s="14"/>
      <c r="D81" s="14">
        <f>D80*0.74</f>
        <v>34.030702612773503</v>
      </c>
      <c r="E81" s="14">
        <f t="shared" ref="E81:M81" si="29">E80*0.74</f>
        <v>65.121432438604302</v>
      </c>
      <c r="F81" s="14">
        <f t="shared" si="29"/>
        <v>92.955490734506228</v>
      </c>
      <c r="G81" s="14">
        <f t="shared" si="29"/>
        <v>120.02870822138632</v>
      </c>
      <c r="H81" s="14">
        <f t="shared" si="29"/>
        <v>129.17787328135188</v>
      </c>
      <c r="I81" s="14">
        <f t="shared" si="29"/>
        <v>139.55848487461913</v>
      </c>
      <c r="J81" s="14">
        <f t="shared" si="29"/>
        <v>151.04955314670437</v>
      </c>
      <c r="K81" s="14">
        <f t="shared" si="29"/>
        <v>163.04331578862937</v>
      </c>
      <c r="L81" s="14">
        <f t="shared" si="29"/>
        <v>175.68800908207041</v>
      </c>
      <c r="M81" s="14">
        <f t="shared" si="29"/>
        <v>190.90069334236642</v>
      </c>
    </row>
    <row r="82" spans="2:13" hidden="1"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</row>
    <row r="83" spans="2:13" hidden="1"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>
        <f>M79/4.55-1</f>
        <v>-0.20424296969657207</v>
      </c>
    </row>
    <row r="84" spans="2:13" hidden="1"/>
  </sheetData>
  <sheetProtection algorithmName="SHA-512" hashValue="4xNlBgnEpyggbGfn0xK2OUjo+Rr3989b861ahBoicq69cWQqF3ILD0ZBcEiG9xDLybU2R4JMNCAuP3JXDhEelA==" saltValue="xD5md9PnnRkmLa1yNnEInw==" spinCount="100000" sheet="1" objects="1" scenarios="1" selectLockedCells="1"/>
  <dataConsolidate>
    <dataRefs count="1">
      <dataRef name="$X$24,$X$25,$X$26,$X$27,$X$28"/>
    </dataRefs>
  </dataConsolidate>
  <mergeCells count="19">
    <mergeCell ref="B8:C10"/>
    <mergeCell ref="B21:N21"/>
    <mergeCell ref="B22:N22"/>
    <mergeCell ref="B12:C14"/>
    <mergeCell ref="D12:E14"/>
    <mergeCell ref="B17:C19"/>
    <mergeCell ref="D17:E19"/>
    <mergeCell ref="G12:N14"/>
    <mergeCell ref="G15:N15"/>
    <mergeCell ref="G16:N16"/>
    <mergeCell ref="G17:N17"/>
    <mergeCell ref="G18:N18"/>
    <mergeCell ref="B20:N20"/>
    <mergeCell ref="B1:N1"/>
    <mergeCell ref="B2:N2"/>
    <mergeCell ref="A3:E3"/>
    <mergeCell ref="B5:D5"/>
    <mergeCell ref="F5:H5"/>
    <mergeCell ref="J5:L5"/>
  </mergeCells>
  <dataValidations count="4">
    <dataValidation type="decimal" allowBlank="1" showInputMessage="1" showErrorMessage="1" prompt="Enter number between 0% and 10%" sqref="M5" xr:uid="{26A77CE1-70F5-47E7-9389-59E0BAD60D90}">
      <formula1>0</formula1>
      <formula2>0.1</formula2>
    </dataValidation>
    <dataValidation type="decimal" allowBlank="1" showInputMessage="1" showErrorMessage="1" promptTitle="h4llo" sqref="Q13 Q19" xr:uid="{C36D8E85-568C-47FF-AB3A-19854B40D1D6}">
      <formula1>-2000</formula1>
      <formula2>4000</formula2>
    </dataValidation>
    <dataValidation type="whole" allowBlank="1" showInputMessage="1" showErrorMessage="1" error="Enter a Number Between 0 and 100" prompt="Enter number between $1 and $100" sqref="E5" xr:uid="{D18EC047-9CE3-4554-9717-83C74AC13CED}">
      <formula1>1</formula1>
      <formula2>100</formula2>
    </dataValidation>
    <dataValidation type="whole" allowBlank="1" showInputMessage="1" showErrorMessage="1" error="Enter a year between 2023 and 2032" prompt="Enter year between 2023 and 2032" sqref="I5" xr:uid="{A6A46793-698D-483D-9698-9C24B408A4C9}">
      <formula1>2023</formula1>
      <formula2>2032</formula2>
    </dataValidation>
  </dataValidations>
  <hyperlinks>
    <hyperlink ref="B2:N2" r:id="rId1" display="Committee for a Responsible Federal Budget" xr:uid="{2056C3BF-B787-4015-BAE5-90EA2D1678C1}"/>
    <hyperlink ref="B20:N20" r:id="rId2" display="Contact us with questions or concerns at https://www.crfb.org/contact. " xr:uid="{6D9DD5F6-6A0C-4F79-9DCF-02B5A5262DFF}"/>
    <hyperlink ref="X16" r:id="rId3" xr:uid="{109A7906-22F1-4732-BC1E-DB64FE596958}"/>
    <hyperlink ref="B22:N22" r:id="rId4" display="Data for model is based on CBO's July 2021 baseline and aims to approximate the methology developed and explained in &quot;How Carbon Dioxide Emissions Would Respond to a Tax or Allowance Price: An Update: Working Paper 2021-16&quot;" xr:uid="{7ECE5821-42AE-4BCE-9D7E-B55237D05D3C}"/>
  </hyperlinks>
  <pageMargins left="0.7" right="0.7" top="0.75" bottom="0.75" header="0.3" footer="0.3"/>
  <pageSetup orientation="portrait"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6EE904E6C91344A9AC07C75CCA8529" ma:contentTypeVersion="6" ma:contentTypeDescription="Create a new document." ma:contentTypeScope="" ma:versionID="2b6dfb32d299c5856c14176443afd3f2">
  <xsd:schema xmlns:xsd="http://www.w3.org/2001/XMLSchema" xmlns:xs="http://www.w3.org/2001/XMLSchema" xmlns:p="http://schemas.microsoft.com/office/2006/metadata/properties" xmlns:ns2="c5f1caa1-91a1-42bb-9809-7533232f9f9e" xmlns:ns3="2852a202-52a2-4655-9e99-4ace7c7a92c3" targetNamespace="http://schemas.microsoft.com/office/2006/metadata/properties" ma:root="true" ma:fieldsID="197cf0854b8e816e380e1b7610fc50fe" ns2:_="" ns3:_="">
    <xsd:import namespace="c5f1caa1-91a1-42bb-9809-7533232f9f9e"/>
    <xsd:import namespace="2852a202-52a2-4655-9e99-4ace7c7a92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f1caa1-91a1-42bb-9809-7533232f9f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52a202-52a2-4655-9e99-4ace7c7a92c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E82F48E-014D-49EB-9D03-19132A0A05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f1caa1-91a1-42bb-9809-7533232f9f9e"/>
    <ds:schemaRef ds:uri="2852a202-52a2-4655-9e99-4ace7c7a92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1E6E42-BB66-4215-8B10-EE2DD4AF4E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C7DC99-99F8-492C-AD7F-F124C0EC441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Build Your Own Carbon Tax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 goldwein</dc:creator>
  <cp:keywords/>
  <dc:description/>
  <cp:lastModifiedBy>John Schuler</cp:lastModifiedBy>
  <cp:revision/>
  <dcterms:created xsi:type="dcterms:W3CDTF">2021-12-16T22:41:12Z</dcterms:created>
  <dcterms:modified xsi:type="dcterms:W3CDTF">2022-07-20T16:59:48Z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0x010100E86EE904E6C91344A9AC07C75CCA8529</vt:lpwstr>
  </property>
</Properties>
</file>