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defaultThemeVersion="166925"/>
  <mc:AlternateContent xmlns:mc="http://schemas.openxmlformats.org/markup-compatibility/2006">
    <mc:Choice Requires="x15">
      <x15ac:absPath xmlns:x15ac="http://schemas.microsoft.com/office/spreadsheetml/2010/11/ac" url="https://crfb-my.sharepoint.com/personal/garrand_crfb_org/Documents/Models/Discretionary Model/Final Drafts/On Website/"/>
    </mc:Choice>
  </mc:AlternateContent>
  <xr:revisionPtr revIDLastSave="22" documentId="8_{1D56555F-50E9-4A7D-B2BC-E66D2CB8985E}" xr6:coauthVersionLast="47" xr6:coauthVersionMax="47" xr10:uidLastSave="{D0825699-8579-40CF-89E1-2402095C4D23}"/>
  <bookViews>
    <workbookView xWindow="-28920" yWindow="-120" windowWidth="29040" windowHeight="15720" xr2:uid="{8805BCD0-43A5-45AC-95D8-D7ED24B95D7E}"/>
  </bookViews>
  <sheets>
    <sheet name="Introduction" sheetId="3" r:id="rId1"/>
    <sheet name="Discretionary Model" sheetId="1" r:id="rId2"/>
    <sheet name="Defense &amp; Nondefense Model" sheetId="2" r:id="rId3"/>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 l="1" a="1"/>
  <c r="O10" i="1" s="1"/>
  <c r="O21" i="2" a="1"/>
  <c r="O21" i="2" s="1"/>
  <c r="O14" i="2" a="1"/>
  <c r="O14" i="2" s="1"/>
  <c r="Q22" i="2" a="1"/>
  <c r="Q22" i="2" s="1"/>
  <c r="R22" i="2" a="1"/>
  <c r="R22" i="2" s="1"/>
  <c r="S22" i="2" a="1"/>
  <c r="S22" i="2" s="1"/>
  <c r="T22" i="2" a="1"/>
  <c r="T22" i="2" s="1"/>
  <c r="U22" i="2" a="1"/>
  <c r="U22" i="2" s="1"/>
  <c r="V22" i="2" a="1"/>
  <c r="V22" i="2" s="1"/>
  <c r="W22" i="2" a="1"/>
  <c r="W22" i="2" s="1"/>
  <c r="X22" i="2" a="1"/>
  <c r="X22" i="2" s="1"/>
  <c r="P22" i="2" a="1"/>
  <c r="P22" i="2" s="1"/>
  <c r="Q16" i="2" a="1"/>
  <c r="Q16" i="2" s="1"/>
  <c r="R16" i="2" a="1"/>
  <c r="R16" i="2" s="1"/>
  <c r="S16" i="2" a="1"/>
  <c r="S16" i="2" s="1"/>
  <c r="T16" i="2" a="1"/>
  <c r="T16" i="2" s="1"/>
  <c r="U16" i="2" a="1"/>
  <c r="U16" i="2" s="1"/>
  <c r="V16" i="2" a="1"/>
  <c r="V16" i="2" s="1"/>
  <c r="W16" i="2" a="1"/>
  <c r="W16" i="2" s="1"/>
  <c r="X16" i="2" a="1"/>
  <c r="X16" i="2" s="1"/>
  <c r="P16" i="2" a="1"/>
  <c r="P16" i="2" s="1"/>
  <c r="Q12" i="1" a="1"/>
  <c r="Q12" i="1" s="1"/>
  <c r="S12" i="1" a="1"/>
  <c r="S12" i="1" s="1"/>
  <c r="U12" i="1" a="1"/>
  <c r="U12" i="1" s="1"/>
  <c r="W12" i="1" a="1"/>
  <c r="W12" i="1" s="1"/>
  <c r="P12" i="1" a="1"/>
  <c r="P12" i="1" s="1"/>
  <c r="AB177" i="2"/>
  <c r="AC177" i="2"/>
  <c r="AD177" i="2"/>
  <c r="AA177" i="2"/>
  <c r="X176" i="2"/>
  <c r="Y176" i="2"/>
  <c r="Z176" i="2"/>
  <c r="AA176" i="2"/>
  <c r="AB176" i="2"/>
  <c r="AC176" i="2"/>
  <c r="AD176" i="2"/>
  <c r="W176" i="2"/>
  <c r="AB173" i="2"/>
  <c r="AC173" i="2"/>
  <c r="AD173" i="2"/>
  <c r="AA173" i="2"/>
  <c r="X172" i="2"/>
  <c r="Y172" i="2"/>
  <c r="Z172" i="2"/>
  <c r="AA172" i="2"/>
  <c r="AB172" i="2"/>
  <c r="AC172" i="2"/>
  <c r="AD172" i="2"/>
  <c r="W172" i="2"/>
  <c r="S167" i="1"/>
  <c r="T167" i="1"/>
  <c r="U167" i="1"/>
  <c r="R167" i="1"/>
  <c r="O166" i="1"/>
  <c r="R12" i="1" s="1" a="1"/>
  <c r="R12" i="1" s="1"/>
  <c r="P166" i="1"/>
  <c r="Q166" i="1"/>
  <c r="T12" i="1" s="1" a="1"/>
  <c r="T12" i="1" s="1"/>
  <c r="R166" i="1"/>
  <c r="S166" i="1"/>
  <c r="V12" i="1" s="1" a="1"/>
  <c r="V12" i="1" s="1"/>
  <c r="T166" i="1"/>
  <c r="U166" i="1"/>
  <c r="X12" i="1" s="1" a="1"/>
  <c r="X12" i="1" s="1"/>
  <c r="N166" i="1"/>
  <c r="K117" i="1"/>
  <c r="J165" i="2" l="1"/>
  <c r="L159" i="2"/>
  <c r="L162" i="2" l="1"/>
  <c r="J166" i="2"/>
  <c r="AB47" i="2"/>
  <c r="L47" i="2"/>
  <c r="M47" i="2"/>
  <c r="N47" i="2"/>
  <c r="O47" i="2"/>
  <c r="P47" i="2"/>
  <c r="Q47" i="2"/>
  <c r="R47" i="2"/>
  <c r="S47" i="2"/>
  <c r="T47" i="2"/>
  <c r="U47" i="2"/>
  <c r="V47" i="2"/>
  <c r="K47" i="2"/>
  <c r="K46" i="2"/>
  <c r="AC47" i="2"/>
  <c r="O16" i="2"/>
  <c r="L131" i="1"/>
  <c r="L10" i="1"/>
  <c r="M10" i="1"/>
  <c r="K36" i="1" s="1"/>
  <c r="N10" i="1"/>
  <c r="L36" i="1" s="1"/>
  <c r="L50" i="1" s="1"/>
  <c r="N53" i="1" s="1"/>
  <c r="K10" i="1"/>
  <c r="M36" i="1" l="1"/>
  <c r="M50" i="1" s="1"/>
  <c r="N54" i="1" s="1"/>
  <c r="M53" i="1"/>
  <c r="L53" i="1"/>
  <c r="L64" i="1" s="1"/>
  <c r="L39" i="1" s="1"/>
  <c r="U159" i="2" l="1"/>
  <c r="U162" i="2" s="1"/>
  <c r="T159" i="2"/>
  <c r="S159" i="2"/>
  <c r="S162" i="2" s="1"/>
  <c r="R159" i="2"/>
  <c r="R162" i="2" s="1"/>
  <c r="Q159" i="2"/>
  <c r="Q162" i="2" s="1"/>
  <c r="P159" i="2"/>
  <c r="O159" i="2"/>
  <c r="O162" i="2" s="1"/>
  <c r="N159" i="2"/>
  <c r="N162" i="2" s="1"/>
  <c r="M159" i="2"/>
  <c r="M162" i="2" s="1"/>
  <c r="K159" i="2"/>
  <c r="U156" i="2"/>
  <c r="T156" i="2"/>
  <c r="S156" i="2"/>
  <c r="R156" i="2"/>
  <c r="Q156" i="2"/>
  <c r="P156" i="2"/>
  <c r="O156" i="2"/>
  <c r="N156" i="2"/>
  <c r="M156" i="2"/>
  <c r="L156" i="2"/>
  <c r="K162" i="2" l="1"/>
  <c r="L160" i="2"/>
  <c r="T160" i="2"/>
  <c r="P160" i="2"/>
  <c r="N160" i="2"/>
  <c r="S160" i="2"/>
  <c r="O160" i="2"/>
  <c r="T162" i="2"/>
  <c r="P162" i="2"/>
  <c r="R160" i="2"/>
  <c r="M160" i="2"/>
  <c r="Q160" i="2"/>
  <c r="U160" i="2"/>
  <c r="O22" i="2" l="1"/>
  <c r="AL90" i="2"/>
  <c r="AK90" i="2"/>
  <c r="AJ90" i="2"/>
  <c r="AI90" i="2"/>
  <c r="AH90" i="2"/>
  <c r="AG90" i="2"/>
  <c r="AF90" i="2"/>
  <c r="AE90" i="2"/>
  <c r="AD90" i="2"/>
  <c r="AC90" i="2"/>
  <c r="AJ89" i="2"/>
  <c r="AI89" i="2"/>
  <c r="AH89" i="2"/>
  <c r="AG89" i="2"/>
  <c r="AF89" i="2"/>
  <c r="AE89" i="2"/>
  <c r="AD89" i="2"/>
  <c r="AC89" i="2"/>
  <c r="AI88" i="2"/>
  <c r="AH88" i="2"/>
  <c r="AG88" i="2"/>
  <c r="AF88" i="2"/>
  <c r="AE88" i="2"/>
  <c r="AD88" i="2"/>
  <c r="AC88" i="2"/>
  <c r="AI87" i="2"/>
  <c r="AH87" i="2"/>
  <c r="AG87" i="2"/>
  <c r="AF87" i="2"/>
  <c r="AE87" i="2"/>
  <c r="AD87" i="2"/>
  <c r="AC87" i="2"/>
  <c r="AH86" i="2"/>
  <c r="AG86" i="2"/>
  <c r="AF86" i="2"/>
  <c r="AE86" i="2"/>
  <c r="AD86" i="2"/>
  <c r="AC86" i="2"/>
  <c r="AG85" i="2"/>
  <c r="AF85" i="2"/>
  <c r="AE85" i="2"/>
  <c r="AD85" i="2"/>
  <c r="AC85" i="2"/>
  <c r="AF84" i="2"/>
  <c r="AE84" i="2"/>
  <c r="AD84" i="2"/>
  <c r="AC84" i="2"/>
  <c r="AE83" i="2"/>
  <c r="AD83" i="2"/>
  <c r="AC83" i="2"/>
  <c r="AD82" i="2"/>
  <c r="AC82" i="2"/>
  <c r="L90" i="2"/>
  <c r="L89" i="2"/>
  <c r="L88" i="2"/>
  <c r="L87" i="2"/>
  <c r="L86" i="2"/>
  <c r="L85" i="2"/>
  <c r="L84" i="2"/>
  <c r="L83" i="2"/>
  <c r="L82" i="2"/>
  <c r="M90" i="2"/>
  <c r="M89" i="2"/>
  <c r="M88" i="2"/>
  <c r="M87" i="2"/>
  <c r="M86" i="2"/>
  <c r="M85" i="2"/>
  <c r="M84" i="2"/>
  <c r="M83" i="2"/>
  <c r="M82" i="2"/>
  <c r="N90" i="2"/>
  <c r="N89" i="2"/>
  <c r="N88" i="2"/>
  <c r="N87" i="2"/>
  <c r="N86" i="2"/>
  <c r="N85" i="2"/>
  <c r="N84" i="2"/>
  <c r="N83" i="2"/>
  <c r="O90" i="2"/>
  <c r="O89" i="2"/>
  <c r="O88" i="2"/>
  <c r="O87" i="2"/>
  <c r="O86" i="2"/>
  <c r="O85" i="2"/>
  <c r="O84" i="2"/>
  <c r="P90" i="2"/>
  <c r="P89" i="2"/>
  <c r="P88" i="2"/>
  <c r="P87" i="2"/>
  <c r="P86" i="2"/>
  <c r="P85" i="2"/>
  <c r="Q90" i="2"/>
  <c r="Q89" i="2"/>
  <c r="Q88" i="2"/>
  <c r="Q87" i="2"/>
  <c r="Q86" i="2"/>
  <c r="R90" i="2"/>
  <c r="R89" i="2"/>
  <c r="R88" i="2"/>
  <c r="R87" i="2"/>
  <c r="U90" i="2"/>
  <c r="AB80" i="2"/>
  <c r="AM80" i="2" s="1"/>
  <c r="AC117" i="2"/>
  <c r="L117" i="2"/>
  <c r="L107" i="1"/>
  <c r="J21" i="2"/>
  <c r="K21" i="2"/>
  <c r="L21" i="2"/>
  <c r="M22" i="2"/>
  <c r="N21" i="2"/>
  <c r="AC46" i="2" s="1"/>
  <c r="AC60" i="2" s="1"/>
  <c r="M21" i="2"/>
  <c r="AB46" i="2" s="1"/>
  <c r="AD47" i="2"/>
  <c r="AE47" i="2"/>
  <c r="AF47" i="2"/>
  <c r="AG47" i="2"/>
  <c r="AH47" i="2"/>
  <c r="AI47" i="2"/>
  <c r="AJ47" i="2"/>
  <c r="AK47" i="2"/>
  <c r="AL47" i="2"/>
  <c r="AM47" i="2"/>
  <c r="AB95" i="2"/>
  <c r="AB96" i="2" s="1"/>
  <c r="AB97" i="2" s="1"/>
  <c r="AB98" i="2" s="1"/>
  <c r="AB99" i="2" s="1"/>
  <c r="AB100" i="2" s="1"/>
  <c r="AB101" i="2" s="1"/>
  <c r="AB102" i="2" s="1"/>
  <c r="AB103" i="2" s="1"/>
  <c r="AB104" i="2" s="1"/>
  <c r="AB105" i="2" s="1"/>
  <c r="AD93" i="2"/>
  <c r="AE93" i="2" s="1"/>
  <c r="AF93" i="2" s="1"/>
  <c r="AG93" i="2" s="1"/>
  <c r="AH93" i="2" s="1"/>
  <c r="AI93" i="2" s="1"/>
  <c r="AJ93" i="2" s="1"/>
  <c r="AK93" i="2" s="1"/>
  <c r="AL93" i="2" s="1"/>
  <c r="AM93" i="2" s="1"/>
  <c r="L46" i="2"/>
  <c r="L60" i="2" l="1"/>
  <c r="V63" i="2" s="1"/>
  <c r="AF80" i="2"/>
  <c r="AJ80" i="2"/>
  <c r="AC80" i="2"/>
  <c r="AK80" i="2"/>
  <c r="AD80" i="2"/>
  <c r="AH80" i="2"/>
  <c r="AL80" i="2"/>
  <c r="AG80" i="2"/>
  <c r="AE80" i="2"/>
  <c r="AI80" i="2"/>
  <c r="AD63" i="2"/>
  <c r="AE63" i="2"/>
  <c r="AM63" i="2"/>
  <c r="AK63" i="2"/>
  <c r="AJ63" i="2"/>
  <c r="AI63" i="2"/>
  <c r="AC63" i="2"/>
  <c r="AC74" i="2" s="1"/>
  <c r="AC49" i="2" s="1"/>
  <c r="AL63" i="2"/>
  <c r="AH63" i="2"/>
  <c r="AG63" i="2"/>
  <c r="AF63" i="2"/>
  <c r="Q63" i="2"/>
  <c r="U63" i="2"/>
  <c r="L63" i="2"/>
  <c r="L74" i="2" s="1"/>
  <c r="L49" i="2" s="1"/>
  <c r="M63" i="2"/>
  <c r="O63" i="2"/>
  <c r="P63" i="2"/>
  <c r="R63" i="2"/>
  <c r="P21" i="2"/>
  <c r="Q21" i="2" s="1"/>
  <c r="AD46" i="2"/>
  <c r="AD60" i="2" s="1"/>
  <c r="N22" i="2"/>
  <c r="L22" i="2"/>
  <c r="K22" i="2"/>
  <c r="U141" i="2"/>
  <c r="T141" i="2"/>
  <c r="S141" i="2"/>
  <c r="R141" i="2"/>
  <c r="Q141" i="2"/>
  <c r="P141" i="2"/>
  <c r="O141" i="2"/>
  <c r="N141" i="2"/>
  <c r="M141" i="2"/>
  <c r="L141" i="2"/>
  <c r="U135" i="2"/>
  <c r="T135" i="2"/>
  <c r="S135" i="2"/>
  <c r="R135" i="2"/>
  <c r="Q135" i="2"/>
  <c r="P135" i="2"/>
  <c r="O135" i="2"/>
  <c r="N135" i="2"/>
  <c r="M135" i="2"/>
  <c r="L135" i="2"/>
  <c r="K95" i="2"/>
  <c r="K96" i="2" s="1"/>
  <c r="K97" i="2" s="1"/>
  <c r="K98" i="2" s="1"/>
  <c r="K99" i="2" s="1"/>
  <c r="K100" i="2" s="1"/>
  <c r="K101" i="2" s="1"/>
  <c r="K102" i="2" s="1"/>
  <c r="K103" i="2" s="1"/>
  <c r="K104" i="2" s="1"/>
  <c r="K105" i="2" s="1"/>
  <c r="M93" i="2"/>
  <c r="N93" i="2" s="1"/>
  <c r="O93" i="2" s="1"/>
  <c r="P93" i="2" s="1"/>
  <c r="Q93" i="2" s="1"/>
  <c r="R93" i="2" s="1"/>
  <c r="S93" i="2" s="1"/>
  <c r="T93" i="2" s="1"/>
  <c r="U93" i="2" s="1"/>
  <c r="V93" i="2" s="1"/>
  <c r="T90" i="2"/>
  <c r="S90" i="2"/>
  <c r="S89" i="2"/>
  <c r="K80" i="2"/>
  <c r="N28" i="2"/>
  <c r="N26" i="2"/>
  <c r="N16" i="2"/>
  <c r="M16" i="2"/>
  <c r="M46" i="2"/>
  <c r="M60" i="2" s="1"/>
  <c r="K14" i="2"/>
  <c r="J14" i="2"/>
  <c r="O12" i="1"/>
  <c r="J10" i="1"/>
  <c r="L12" i="1"/>
  <c r="T63" i="2" l="1"/>
  <c r="N63" i="2"/>
  <c r="S63" i="2"/>
  <c r="K12" i="1"/>
  <c r="L80" i="2"/>
  <c r="L91" i="2" s="1"/>
  <c r="Q80" i="2"/>
  <c r="P80" i="2"/>
  <c r="V80" i="2"/>
  <c r="N80" i="2"/>
  <c r="O80" i="2"/>
  <c r="T80" i="2"/>
  <c r="R80" i="2"/>
  <c r="U80" i="2"/>
  <c r="M80" i="2"/>
  <c r="S80" i="2"/>
  <c r="AG64" i="2"/>
  <c r="AF64" i="2"/>
  <c r="AE64" i="2"/>
  <c r="AD64" i="2"/>
  <c r="AD74" i="2" s="1"/>
  <c r="AM64" i="2"/>
  <c r="AL64" i="2"/>
  <c r="AK64" i="2"/>
  <c r="AJ64" i="2"/>
  <c r="AI64" i="2"/>
  <c r="AH64" i="2"/>
  <c r="N33" i="2"/>
  <c r="R21" i="2"/>
  <c r="S21" i="2" s="1"/>
  <c r="T21" i="2" s="1"/>
  <c r="U21" i="2" s="1"/>
  <c r="V21" i="2" s="1"/>
  <c r="W21" i="2" s="1"/>
  <c r="X21" i="2" s="1"/>
  <c r="AE46" i="2"/>
  <c r="AC91" i="2"/>
  <c r="P14" i="2"/>
  <c r="N46" i="2" s="1"/>
  <c r="K16" i="2"/>
  <c r="L16" i="2"/>
  <c r="O33" i="2" l="1"/>
  <c r="AD49" i="2"/>
  <c r="AD51" i="2" s="1"/>
  <c r="AD77" i="2" s="1"/>
  <c r="AB81" i="2" s="1"/>
  <c r="AE60" i="2"/>
  <c r="AC121" i="2"/>
  <c r="V64" i="2"/>
  <c r="U64" i="2"/>
  <c r="T64" i="2"/>
  <c r="S64" i="2"/>
  <c r="P64" i="2"/>
  <c r="O64" i="2"/>
  <c r="N64" i="2"/>
  <c r="R64" i="2"/>
  <c r="Q64" i="2"/>
  <c r="M64" i="2"/>
  <c r="L121" i="2"/>
  <c r="AF46" i="2"/>
  <c r="AF60" i="2" s="1"/>
  <c r="Q14" i="2"/>
  <c r="O46" i="2" s="1"/>
  <c r="P10" i="1"/>
  <c r="N36" i="1" s="1"/>
  <c r="O23" i="1" l="1"/>
  <c r="N50" i="1"/>
  <c r="AM81" i="2"/>
  <c r="AD81" i="2"/>
  <c r="AK81" i="2"/>
  <c r="AG81" i="2"/>
  <c r="AI81" i="2"/>
  <c r="AE81" i="2"/>
  <c r="AH81" i="2"/>
  <c r="AJ81" i="2"/>
  <c r="AF81" i="2"/>
  <c r="AL81" i="2"/>
  <c r="P33" i="2"/>
  <c r="M26" i="2"/>
  <c r="AK65" i="2"/>
  <c r="AJ65" i="2"/>
  <c r="AH65" i="2"/>
  <c r="AE65" i="2"/>
  <c r="AM65" i="2"/>
  <c r="AL65" i="2"/>
  <c r="AI65" i="2"/>
  <c r="AG65" i="2"/>
  <c r="AF65" i="2"/>
  <c r="AL66" i="2"/>
  <c r="AJ66" i="2"/>
  <c r="AH66" i="2"/>
  <c r="AG66" i="2"/>
  <c r="AF66" i="2"/>
  <c r="AM66" i="2"/>
  <c r="AK66" i="2"/>
  <c r="AI66" i="2"/>
  <c r="AG46" i="2"/>
  <c r="AG60" i="2" s="1"/>
  <c r="N60" i="2"/>
  <c r="R14" i="2"/>
  <c r="P46" i="2" s="1"/>
  <c r="M74" i="2"/>
  <c r="N18" i="1"/>
  <c r="N16" i="1"/>
  <c r="Q33" i="2" l="1"/>
  <c r="AH67" i="2"/>
  <c r="AG67" i="2"/>
  <c r="AL67" i="2"/>
  <c r="AK67" i="2"/>
  <c r="AJ67" i="2"/>
  <c r="AI67" i="2"/>
  <c r="AM67" i="2"/>
  <c r="R65" i="2"/>
  <c r="T65" i="2"/>
  <c r="P65" i="2"/>
  <c r="Q65" i="2"/>
  <c r="S65" i="2"/>
  <c r="O65" i="2"/>
  <c r="V65" i="2"/>
  <c r="N65" i="2"/>
  <c r="N74" i="2" s="1"/>
  <c r="N49" i="2" s="1"/>
  <c r="N51" i="2" s="1"/>
  <c r="U65" i="2"/>
  <c r="AH46" i="2"/>
  <c r="AH60" i="2" s="1"/>
  <c r="AE74" i="2"/>
  <c r="AE49" i="2" s="1"/>
  <c r="AE51" i="2" s="1"/>
  <c r="AC124" i="2" s="1"/>
  <c r="M49" i="2"/>
  <c r="M51" i="2" s="1"/>
  <c r="S14" i="2"/>
  <c r="Q46" i="2" s="1"/>
  <c r="O60" i="2"/>
  <c r="M131" i="1"/>
  <c r="N131" i="1"/>
  <c r="O131" i="1"/>
  <c r="P131" i="1"/>
  <c r="Q131" i="1"/>
  <c r="R131" i="1"/>
  <c r="S131" i="1"/>
  <c r="T131" i="1"/>
  <c r="U131" i="1"/>
  <c r="AM68" i="2" l="1"/>
  <c r="AK68" i="2"/>
  <c r="AI68" i="2"/>
  <c r="AL68" i="2"/>
  <c r="AJ68" i="2"/>
  <c r="AH68" i="2"/>
  <c r="O34" i="2"/>
  <c r="R66" i="2"/>
  <c r="T66" i="2"/>
  <c r="U66" i="2"/>
  <c r="S66" i="2"/>
  <c r="Q66" i="2"/>
  <c r="O66" i="2"/>
  <c r="O74" i="2" s="1"/>
  <c r="O49" i="2" s="1"/>
  <c r="O51" i="2" s="1"/>
  <c r="V66" i="2"/>
  <c r="P66" i="2"/>
  <c r="N34" i="2"/>
  <c r="L124" i="2"/>
  <c r="K26" i="2"/>
  <c r="R33" i="2"/>
  <c r="AI46" i="2"/>
  <c r="AE77" i="2"/>
  <c r="AB82" i="2" s="1"/>
  <c r="AF74" i="2"/>
  <c r="AF49" i="2" s="1"/>
  <c r="AF51" i="2" s="1"/>
  <c r="M77" i="2"/>
  <c r="K81" i="2" s="1"/>
  <c r="N77" i="2"/>
  <c r="K82" i="2" s="1"/>
  <c r="P60" i="2"/>
  <c r="T14" i="2"/>
  <c r="R46" i="2" s="1"/>
  <c r="M12" i="1"/>
  <c r="N12" i="1"/>
  <c r="AK82" i="2" l="1"/>
  <c r="AG82" i="2"/>
  <c r="AJ82" i="2"/>
  <c r="AF82" i="2"/>
  <c r="AM82" i="2"/>
  <c r="AI82" i="2"/>
  <c r="AE82" i="2"/>
  <c r="AL82" i="2"/>
  <c r="AH82" i="2"/>
  <c r="R82" i="2"/>
  <c r="S82" i="2"/>
  <c r="U82" i="2"/>
  <c r="P82" i="2"/>
  <c r="N82" i="2"/>
  <c r="Q82" i="2"/>
  <c r="T82" i="2"/>
  <c r="O82" i="2"/>
  <c r="V82" i="2"/>
  <c r="N81" i="2"/>
  <c r="V81" i="2"/>
  <c r="Q81" i="2"/>
  <c r="T81" i="2"/>
  <c r="P81" i="2"/>
  <c r="M81" i="2"/>
  <c r="M91" i="2" s="1"/>
  <c r="M53" i="2" s="1"/>
  <c r="M55" i="2" s="1"/>
  <c r="R81" i="2"/>
  <c r="S81" i="2"/>
  <c r="U81" i="2"/>
  <c r="O81" i="2"/>
  <c r="AI60" i="2"/>
  <c r="P34" i="2"/>
  <c r="S33" i="2"/>
  <c r="T67" i="2"/>
  <c r="Q67" i="2"/>
  <c r="P67" i="2"/>
  <c r="P74" i="2" s="1"/>
  <c r="P49" i="2" s="1"/>
  <c r="P51" i="2" s="1"/>
  <c r="U67" i="2"/>
  <c r="S67" i="2"/>
  <c r="V67" i="2"/>
  <c r="R67" i="2"/>
  <c r="AJ46" i="2"/>
  <c r="AJ60" i="2" s="1"/>
  <c r="AF77" i="2"/>
  <c r="AB83" i="2" s="1"/>
  <c r="AD91" i="2"/>
  <c r="AD53" i="2" s="1"/>
  <c r="AG74" i="2"/>
  <c r="AG49" i="2" s="1"/>
  <c r="AG51" i="2" s="1"/>
  <c r="O77" i="2"/>
  <c r="K83" i="2" s="1"/>
  <c r="Q60" i="2"/>
  <c r="U14" i="2"/>
  <c r="S46" i="2" s="1"/>
  <c r="Q10" i="1"/>
  <c r="M125" i="1"/>
  <c r="N125" i="1"/>
  <c r="O125" i="1"/>
  <c r="P125" i="1"/>
  <c r="Q125" i="1"/>
  <c r="R125" i="1"/>
  <c r="S125" i="1"/>
  <c r="T125" i="1"/>
  <c r="U125" i="1"/>
  <c r="L125" i="1"/>
  <c r="R10" i="1" l="1"/>
  <c r="P36" i="1" s="1"/>
  <c r="Q23" i="1" s="1"/>
  <c r="O36" i="1"/>
  <c r="AL83" i="2"/>
  <c r="AH83" i="2"/>
  <c r="AK83" i="2"/>
  <c r="AG83" i="2"/>
  <c r="AJ83" i="2"/>
  <c r="AF83" i="2"/>
  <c r="AF91" i="2" s="1"/>
  <c r="AF53" i="2" s="1"/>
  <c r="AF55" i="2" s="1"/>
  <c r="AM83" i="2"/>
  <c r="AI83" i="2"/>
  <c r="Q83" i="2"/>
  <c r="T83" i="2"/>
  <c r="U83" i="2"/>
  <c r="O83" i="2"/>
  <c r="O91" i="2" s="1"/>
  <c r="O53" i="2" s="1"/>
  <c r="P83" i="2"/>
  <c r="V83" i="2"/>
  <c r="R83" i="2"/>
  <c r="S83" i="2"/>
  <c r="T33" i="2"/>
  <c r="AI69" i="2"/>
  <c r="AM69" i="2"/>
  <c r="AL69" i="2"/>
  <c r="AK69" i="2"/>
  <c r="AJ69" i="2"/>
  <c r="AL70" i="2"/>
  <c r="AK70" i="2"/>
  <c r="AJ70" i="2"/>
  <c r="AM70" i="2"/>
  <c r="Q34" i="2"/>
  <c r="Q68" i="2"/>
  <c r="Q74" i="2" s="1"/>
  <c r="Q49" i="2" s="1"/>
  <c r="Q51" i="2" s="1"/>
  <c r="V68" i="2"/>
  <c r="U68" i="2"/>
  <c r="S68" i="2"/>
  <c r="R68" i="2"/>
  <c r="T68" i="2"/>
  <c r="AK46" i="2"/>
  <c r="AK60" i="2" s="1"/>
  <c r="AE91" i="2"/>
  <c r="AE53" i="2" s="1"/>
  <c r="AE55" i="2" s="1"/>
  <c r="AH74" i="2"/>
  <c r="AH49" i="2" s="1"/>
  <c r="AH51" i="2" s="1"/>
  <c r="AH77" i="2" s="1"/>
  <c r="AB85" i="2" s="1"/>
  <c r="AG77" i="2"/>
  <c r="AB84" i="2" s="1"/>
  <c r="N91" i="2"/>
  <c r="N53" i="2" s="1"/>
  <c r="N55" i="2" s="1"/>
  <c r="AD55" i="2"/>
  <c r="V14" i="2"/>
  <c r="T46" i="2" s="1"/>
  <c r="P77" i="2"/>
  <c r="K84" i="2" s="1"/>
  <c r="R60" i="2"/>
  <c r="S10" i="1" l="1"/>
  <c r="Q36" i="1" s="1"/>
  <c r="P50" i="1"/>
  <c r="AJ85" i="2"/>
  <c r="AM85" i="2"/>
  <c r="AI85" i="2"/>
  <c r="AL85" i="2"/>
  <c r="AH85" i="2"/>
  <c r="AK85" i="2"/>
  <c r="AM84" i="2"/>
  <c r="AI84" i="2"/>
  <c r="AL84" i="2"/>
  <c r="AH84" i="2"/>
  <c r="AK84" i="2"/>
  <c r="AG84" i="2"/>
  <c r="AG91" i="2" s="1"/>
  <c r="AG53" i="2" s="1"/>
  <c r="AG55" i="2" s="1"/>
  <c r="AJ84" i="2"/>
  <c r="P84" i="2"/>
  <c r="P91" i="2" s="1"/>
  <c r="P53" i="2" s="1"/>
  <c r="R84" i="2"/>
  <c r="S84" i="2"/>
  <c r="Q84" i="2"/>
  <c r="V84" i="2"/>
  <c r="U84" i="2"/>
  <c r="T84" i="2"/>
  <c r="R34" i="2"/>
  <c r="AM71" i="2"/>
  <c r="AK71" i="2"/>
  <c r="AL71" i="2"/>
  <c r="U33" i="2"/>
  <c r="U69" i="2"/>
  <c r="V69" i="2"/>
  <c r="S69" i="2"/>
  <c r="R69" i="2"/>
  <c r="R74" i="2" s="1"/>
  <c r="R49" i="2" s="1"/>
  <c r="R51" i="2" s="1"/>
  <c r="T69" i="2"/>
  <c r="AM46" i="2"/>
  <c r="AL46" i="2"/>
  <c r="AL60" i="2" s="1"/>
  <c r="AI74" i="2"/>
  <c r="AI49" i="2" s="1"/>
  <c r="AI51" i="2" s="1"/>
  <c r="AI77" i="2" s="1"/>
  <c r="AB86" i="2" s="1"/>
  <c r="O55" i="2"/>
  <c r="Q77" i="2"/>
  <c r="K85" i="2" s="1"/>
  <c r="S60" i="2"/>
  <c r="W14" i="2"/>
  <c r="U46" i="2" s="1"/>
  <c r="N23" i="1"/>
  <c r="T10" i="1" l="1"/>
  <c r="R36" i="1" s="1"/>
  <c r="R23" i="1"/>
  <c r="Q50" i="1"/>
  <c r="AK86" i="2"/>
  <c r="AJ86" i="2"/>
  <c r="AM86" i="2"/>
  <c r="AI86" i="2"/>
  <c r="AL86" i="2"/>
  <c r="V85" i="2"/>
  <c r="Q85" i="2"/>
  <c r="Q91" i="2" s="1"/>
  <c r="Q53" i="2" s="1"/>
  <c r="Q55" i="2" s="1"/>
  <c r="R85" i="2"/>
  <c r="S85" i="2"/>
  <c r="U85" i="2"/>
  <c r="T85" i="2"/>
  <c r="AL72" i="2"/>
  <c r="AM72" i="2"/>
  <c r="AM60" i="2"/>
  <c r="AM73" i="2" s="1"/>
  <c r="AC120" i="2"/>
  <c r="V33" i="2"/>
  <c r="S34" i="2"/>
  <c r="U70" i="2"/>
  <c r="S70" i="2"/>
  <c r="S74" i="2" s="1"/>
  <c r="S49" i="2" s="1"/>
  <c r="S51" i="2" s="1"/>
  <c r="T70" i="2"/>
  <c r="V70" i="2"/>
  <c r="AH91" i="2"/>
  <c r="AH53" i="2" s="1"/>
  <c r="AJ74" i="2"/>
  <c r="AJ49" i="2" s="1"/>
  <c r="AJ51" i="2" s="1"/>
  <c r="P55" i="2"/>
  <c r="R77" i="2"/>
  <c r="K86" i="2" s="1"/>
  <c r="T60" i="2"/>
  <c r="X14" i="2"/>
  <c r="V46" i="2" s="1"/>
  <c r="V60" i="2" s="1"/>
  <c r="U10" i="1" l="1"/>
  <c r="S36" i="1" s="1"/>
  <c r="S23" i="1"/>
  <c r="R50" i="1"/>
  <c r="R86" i="2"/>
  <c r="R91" i="2" s="1"/>
  <c r="R53" i="2" s="1"/>
  <c r="R55" i="2" s="1"/>
  <c r="S86" i="2"/>
  <c r="U86" i="2"/>
  <c r="T86" i="2"/>
  <c r="V86" i="2"/>
  <c r="T34" i="2"/>
  <c r="W33" i="2"/>
  <c r="L120" i="2"/>
  <c r="M28" i="2" s="1"/>
  <c r="K126" i="2"/>
  <c r="K128" i="2" s="1"/>
  <c r="U71" i="2"/>
  <c r="T71" i="2"/>
  <c r="T74" i="2" s="1"/>
  <c r="T49" i="2" s="1"/>
  <c r="T51" i="2" s="1"/>
  <c r="V71" i="2"/>
  <c r="AH55" i="2"/>
  <c r="AK74" i="2"/>
  <c r="AK49" i="2" s="1"/>
  <c r="AK51" i="2" s="1"/>
  <c r="AJ77" i="2"/>
  <c r="AB87" i="2" s="1"/>
  <c r="AI91" i="2"/>
  <c r="AI53" i="2" s="1"/>
  <c r="AI55" i="2" s="1"/>
  <c r="S77" i="2"/>
  <c r="K87" i="2" s="1"/>
  <c r="U60" i="2"/>
  <c r="V73" i="2"/>
  <c r="L111" i="1"/>
  <c r="M16" i="1" s="1"/>
  <c r="V10" i="1" l="1"/>
  <c r="T36" i="1" s="1"/>
  <c r="T23" i="1"/>
  <c r="S50" i="1"/>
  <c r="P23" i="1"/>
  <c r="O50" i="1"/>
  <c r="AL87" i="2"/>
  <c r="AK87" i="2"/>
  <c r="AJ87" i="2"/>
  <c r="AJ91" i="2" s="1"/>
  <c r="AJ53" i="2" s="1"/>
  <c r="AJ55" i="2" s="1"/>
  <c r="AM87" i="2"/>
  <c r="T87" i="2"/>
  <c r="V87" i="2"/>
  <c r="S87" i="2"/>
  <c r="S91" i="2" s="1"/>
  <c r="S53" i="2" s="1"/>
  <c r="S55" i="2" s="1"/>
  <c r="U87" i="2"/>
  <c r="U34" i="2"/>
  <c r="U72" i="2"/>
  <c r="U74" i="2" s="1"/>
  <c r="U49" i="2" s="1"/>
  <c r="U51" i="2" s="1"/>
  <c r="V72" i="2"/>
  <c r="AL74" i="2"/>
  <c r="AL49" i="2" s="1"/>
  <c r="AL51" i="2" s="1"/>
  <c r="AK77" i="2"/>
  <c r="AB88" i="2" s="1"/>
  <c r="T77" i="2"/>
  <c r="K88" i="2" s="1"/>
  <c r="K85" i="1"/>
  <c r="K86" i="1" s="1"/>
  <c r="K87" i="1" s="1"/>
  <c r="K88" i="1" s="1"/>
  <c r="K89" i="1" s="1"/>
  <c r="K90" i="1" s="1"/>
  <c r="K91" i="1" s="1"/>
  <c r="K92" i="1" s="1"/>
  <c r="K93" i="1" s="1"/>
  <c r="K94" i="1" s="1"/>
  <c r="K95" i="1" s="1"/>
  <c r="M83" i="1"/>
  <c r="N83" i="1" s="1"/>
  <c r="O83" i="1" s="1"/>
  <c r="P83" i="1" s="1"/>
  <c r="Q83" i="1" s="1"/>
  <c r="R83" i="1" s="1"/>
  <c r="S83" i="1" s="1"/>
  <c r="T83" i="1" s="1"/>
  <c r="U83" i="1" s="1"/>
  <c r="V83" i="1" s="1"/>
  <c r="U80" i="1"/>
  <c r="T80" i="1"/>
  <c r="S80" i="1"/>
  <c r="R80" i="1"/>
  <c r="Q80" i="1"/>
  <c r="P80" i="1"/>
  <c r="O80" i="1"/>
  <c r="N80" i="1"/>
  <c r="M80" i="1"/>
  <c r="L80" i="1"/>
  <c r="S79" i="1"/>
  <c r="R79" i="1"/>
  <c r="Q79" i="1"/>
  <c r="P79" i="1"/>
  <c r="O79" i="1"/>
  <c r="N79" i="1"/>
  <c r="M79" i="1"/>
  <c r="L79" i="1"/>
  <c r="R78" i="1"/>
  <c r="Q78" i="1"/>
  <c r="P78" i="1"/>
  <c r="O78" i="1"/>
  <c r="N78" i="1"/>
  <c r="M78" i="1"/>
  <c r="L78" i="1"/>
  <c r="R77" i="1"/>
  <c r="Q77" i="1"/>
  <c r="P77" i="1"/>
  <c r="O77" i="1"/>
  <c r="N77" i="1"/>
  <c r="M77" i="1"/>
  <c r="L77" i="1"/>
  <c r="Q76" i="1"/>
  <c r="P76" i="1"/>
  <c r="O76" i="1"/>
  <c r="N76" i="1"/>
  <c r="M76" i="1"/>
  <c r="L76" i="1"/>
  <c r="P75" i="1"/>
  <c r="O75" i="1"/>
  <c r="N75" i="1"/>
  <c r="M75" i="1"/>
  <c r="L75" i="1"/>
  <c r="O74" i="1"/>
  <c r="N74" i="1"/>
  <c r="M74" i="1"/>
  <c r="L74" i="1"/>
  <c r="N73" i="1"/>
  <c r="M73" i="1"/>
  <c r="L73" i="1"/>
  <c r="M72" i="1"/>
  <c r="L72" i="1"/>
  <c r="K70" i="1"/>
  <c r="S70" i="1" s="1"/>
  <c r="V53" i="1"/>
  <c r="U53" i="1"/>
  <c r="T53" i="1"/>
  <c r="S53" i="1"/>
  <c r="R53" i="1"/>
  <c r="Q53" i="1"/>
  <c r="P53" i="1"/>
  <c r="O53" i="1"/>
  <c r="W10" i="1" l="1"/>
  <c r="U36" i="1" s="1"/>
  <c r="U23" i="1"/>
  <c r="T50" i="1"/>
  <c r="AM88" i="2"/>
  <c r="AL88" i="2"/>
  <c r="AK88" i="2"/>
  <c r="AK91" i="2" s="1"/>
  <c r="AK53" i="2" s="1"/>
  <c r="AK55" i="2" s="1"/>
  <c r="T88" i="2"/>
  <c r="T91" i="2" s="1"/>
  <c r="T53" i="2" s="1"/>
  <c r="T55" i="2" s="1"/>
  <c r="V88" i="2"/>
  <c r="U88" i="2"/>
  <c r="V34" i="2"/>
  <c r="AL77" i="2"/>
  <c r="AB89" i="2" s="1"/>
  <c r="V74" i="2"/>
  <c r="AM74" i="2"/>
  <c r="AM49" i="2" s="1"/>
  <c r="AM51" i="2" s="1"/>
  <c r="U77" i="2"/>
  <c r="K89" i="2" s="1"/>
  <c r="M54" i="1"/>
  <c r="P70" i="1"/>
  <c r="R70" i="1"/>
  <c r="L70" i="1"/>
  <c r="L81" i="1" s="1"/>
  <c r="T70" i="1"/>
  <c r="N70" i="1"/>
  <c r="V70" i="1"/>
  <c r="M70" i="1"/>
  <c r="Q70" i="1"/>
  <c r="U70" i="1"/>
  <c r="O70" i="1"/>
  <c r="X10" i="1" l="1"/>
  <c r="V36" i="1" s="1"/>
  <c r="W23" i="1" s="1"/>
  <c r="V23" i="1"/>
  <c r="U50" i="1"/>
  <c r="AL89" i="2"/>
  <c r="AL91" i="2" s="1"/>
  <c r="AL53" i="2" s="1"/>
  <c r="AL55" i="2" s="1"/>
  <c r="AM89" i="2"/>
  <c r="V89" i="2"/>
  <c r="U89" i="2"/>
  <c r="U91" i="2" s="1"/>
  <c r="U53" i="2" s="1"/>
  <c r="U55" i="2" s="1"/>
  <c r="AM77" i="2"/>
  <c r="AB90" i="2" s="1"/>
  <c r="AM90" i="2" s="1"/>
  <c r="AN51" i="2"/>
  <c r="Q30" i="2" s="1"/>
  <c r="V49" i="2"/>
  <c r="V51" i="2" s="1"/>
  <c r="M64" i="1"/>
  <c r="M39" i="1" s="1"/>
  <c r="P54" i="1"/>
  <c r="O54" i="1"/>
  <c r="S54" i="1"/>
  <c r="Q54" i="1"/>
  <c r="O55" i="1"/>
  <c r="U54" i="1"/>
  <c r="R54" i="1"/>
  <c r="V54" i="1"/>
  <c r="T54" i="1"/>
  <c r="V50" i="1" l="1"/>
  <c r="L110" i="1"/>
  <c r="W34" i="2"/>
  <c r="W51" i="2"/>
  <c r="Q29" i="2" s="1"/>
  <c r="V77" i="2"/>
  <c r="K90" i="2" s="1"/>
  <c r="V90" i="2" s="1"/>
  <c r="M41" i="1"/>
  <c r="P56" i="1"/>
  <c r="N55" i="1"/>
  <c r="N64" i="1" s="1"/>
  <c r="N39" i="1" s="1"/>
  <c r="S55" i="1"/>
  <c r="P55" i="1"/>
  <c r="R55" i="1"/>
  <c r="Q55" i="1"/>
  <c r="V55" i="1"/>
  <c r="T55" i="1"/>
  <c r="U55" i="1"/>
  <c r="S117" i="2" l="1"/>
  <c r="K28" i="2"/>
  <c r="V91" i="2"/>
  <c r="V53" i="2" s="1"/>
  <c r="AM91" i="2"/>
  <c r="AM53" i="2" s="1"/>
  <c r="N24" i="1"/>
  <c r="M67" i="1"/>
  <c r="K71" i="1" s="1"/>
  <c r="S71" i="1" s="1"/>
  <c r="N41" i="1"/>
  <c r="K16" i="1" s="1"/>
  <c r="O56" i="1"/>
  <c r="O64" i="1" s="1"/>
  <c r="O39" i="1" s="1"/>
  <c r="O41" i="1" s="1"/>
  <c r="P24" i="1" s="1"/>
  <c r="Q56" i="1"/>
  <c r="S56" i="1"/>
  <c r="U56" i="1"/>
  <c r="V56" i="1"/>
  <c r="T56" i="1"/>
  <c r="R56" i="1"/>
  <c r="U57" i="1"/>
  <c r="Q57" i="1"/>
  <c r="T57" i="1"/>
  <c r="P57" i="1"/>
  <c r="P64" i="1" s="1"/>
  <c r="P39" i="1" s="1"/>
  <c r="P41" i="1" s="1"/>
  <c r="Q24" i="1" s="1"/>
  <c r="S57" i="1"/>
  <c r="V57" i="1"/>
  <c r="R57" i="1"/>
  <c r="AN53" i="2" l="1"/>
  <c r="AM55" i="2"/>
  <c r="AN55" i="2" s="1"/>
  <c r="AC111" i="2" s="1"/>
  <c r="AC112" i="2" s="1"/>
  <c r="W53" i="2"/>
  <c r="V55" i="2"/>
  <c r="W55" i="2" s="1"/>
  <c r="O24" i="1"/>
  <c r="N71" i="1"/>
  <c r="O71" i="1"/>
  <c r="Q71" i="1"/>
  <c r="T71" i="1"/>
  <c r="V71" i="1"/>
  <c r="M71" i="1"/>
  <c r="M81" i="1" s="1"/>
  <c r="M43" i="1" s="1"/>
  <c r="M45" i="1" s="1"/>
  <c r="U71" i="1"/>
  <c r="P71" i="1"/>
  <c r="R71" i="1"/>
  <c r="L114" i="1"/>
  <c r="O67" i="1"/>
  <c r="K73" i="1" s="1"/>
  <c r="T73" i="1" s="1"/>
  <c r="N67" i="1"/>
  <c r="K72" i="1" s="1"/>
  <c r="O72" i="1" s="1"/>
  <c r="P67" i="1"/>
  <c r="K74" i="1" s="1"/>
  <c r="S58" i="1"/>
  <c r="V58" i="1"/>
  <c r="R58" i="1"/>
  <c r="U58" i="1"/>
  <c r="Q58" i="1"/>
  <c r="Q64" i="1" s="1"/>
  <c r="Q39" i="1" s="1"/>
  <c r="Q41" i="1" s="1"/>
  <c r="R24" i="1" s="1"/>
  <c r="T58" i="1"/>
  <c r="Q27" i="2" l="1"/>
  <c r="K30" i="2"/>
  <c r="L150" i="2" s="1"/>
  <c r="L147" i="2" s="1"/>
  <c r="L111" i="2"/>
  <c r="Q28" i="2" s="1"/>
  <c r="P72" i="1"/>
  <c r="S72" i="1"/>
  <c r="R72" i="1"/>
  <c r="N72" i="1"/>
  <c r="N81" i="1" s="1"/>
  <c r="N43" i="1" s="1"/>
  <c r="N45" i="1" s="1"/>
  <c r="Q73" i="1"/>
  <c r="R73" i="1"/>
  <c r="V73" i="1"/>
  <c r="U73" i="1"/>
  <c r="O73" i="1"/>
  <c r="O81" i="1" s="1"/>
  <c r="O43" i="1" s="1"/>
  <c r="O45" i="1" s="1"/>
  <c r="S73" i="1"/>
  <c r="P73" i="1"/>
  <c r="T72" i="1"/>
  <c r="V72" i="1"/>
  <c r="U72" i="1"/>
  <c r="Q72" i="1"/>
  <c r="Q67" i="1"/>
  <c r="K75" i="1" s="1"/>
  <c r="V59" i="1"/>
  <c r="R59" i="1"/>
  <c r="R64" i="1" s="1"/>
  <c r="R39" i="1" s="1"/>
  <c r="R41" i="1" s="1"/>
  <c r="S24" i="1" s="1"/>
  <c r="U59" i="1"/>
  <c r="T59" i="1"/>
  <c r="S59" i="1"/>
  <c r="T74" i="1"/>
  <c r="P74" i="1"/>
  <c r="S74" i="1"/>
  <c r="V74" i="1"/>
  <c r="R74" i="1"/>
  <c r="U74" i="1"/>
  <c r="Q74" i="1"/>
  <c r="L112" i="2" l="1"/>
  <c r="G32" i="2"/>
  <c r="H148" i="2"/>
  <c r="P81" i="1"/>
  <c r="P43" i="1" s="1"/>
  <c r="P45" i="1" s="1"/>
  <c r="K116" i="1"/>
  <c r="K118" i="1" s="1"/>
  <c r="Q20" i="1" s="1"/>
  <c r="R67" i="1"/>
  <c r="K76" i="1" s="1"/>
  <c r="T75" i="1"/>
  <c r="S75" i="1"/>
  <c r="V75" i="1"/>
  <c r="R75" i="1"/>
  <c r="U75" i="1"/>
  <c r="Q75" i="1"/>
  <c r="Q81" i="1" s="1"/>
  <c r="Q43" i="1" s="1"/>
  <c r="Q45" i="1" s="1"/>
  <c r="V60" i="1"/>
  <c r="U60" i="1"/>
  <c r="T60" i="1"/>
  <c r="S60" i="1"/>
  <c r="S64" i="1" s="1"/>
  <c r="S39" i="1" s="1"/>
  <c r="S41" i="1" s="1"/>
  <c r="T24" i="1" s="1"/>
  <c r="M18" i="1" l="1"/>
  <c r="V61" i="1"/>
  <c r="U61" i="1"/>
  <c r="T61" i="1"/>
  <c r="T64" i="1" s="1"/>
  <c r="T39" i="1" s="1"/>
  <c r="T41" i="1" s="1"/>
  <c r="U24" i="1" s="1"/>
  <c r="S67" i="1"/>
  <c r="K77" i="1" s="1"/>
  <c r="T76" i="1"/>
  <c r="S76" i="1"/>
  <c r="V76" i="1"/>
  <c r="R76" i="1"/>
  <c r="R81" i="1" s="1"/>
  <c r="R43" i="1" s="1"/>
  <c r="R45" i="1" s="1"/>
  <c r="U76" i="1"/>
  <c r="T67" i="1" l="1"/>
  <c r="K78" i="1" s="1"/>
  <c r="V63" i="1"/>
  <c r="U62" i="1"/>
  <c r="U64" i="1" s="1"/>
  <c r="U39" i="1" s="1"/>
  <c r="U41" i="1" s="1"/>
  <c r="V24" i="1" s="1"/>
  <c r="V62" i="1"/>
  <c r="T77" i="1"/>
  <c r="S77" i="1"/>
  <c r="S81" i="1" s="1"/>
  <c r="S43" i="1" s="1"/>
  <c r="S45" i="1" s="1"/>
  <c r="V77" i="1"/>
  <c r="U77" i="1"/>
  <c r="V64" i="1" l="1"/>
  <c r="V39" i="1" s="1"/>
  <c r="V41" i="1" s="1"/>
  <c r="W24" i="1" s="1"/>
  <c r="U78" i="1"/>
  <c r="T78" i="1"/>
  <c r="T81" i="1" s="1"/>
  <c r="T43" i="1" s="1"/>
  <c r="T45" i="1" s="1"/>
  <c r="V78" i="1"/>
  <c r="U67" i="1"/>
  <c r="K79" i="1" s="1"/>
  <c r="V67" i="1" l="1"/>
  <c r="K80" i="1" s="1"/>
  <c r="V80" i="1" s="1"/>
  <c r="W41" i="1"/>
  <c r="K18" i="1" s="1"/>
  <c r="V79" i="1"/>
  <c r="U79" i="1"/>
  <c r="U81" i="1" s="1"/>
  <c r="U43" i="1" s="1"/>
  <c r="U45" i="1" s="1"/>
  <c r="Q19" i="1" l="1"/>
  <c r="V81" i="1"/>
  <c r="V43" i="1" s="1"/>
  <c r="W43" i="1" s="1"/>
  <c r="V45" i="1" l="1"/>
  <c r="W45" i="1" l="1"/>
  <c r="K20" i="1" l="1"/>
  <c r="L140" i="1" s="1"/>
  <c r="L137" i="1" s="1"/>
  <c r="G22" i="1" s="1"/>
  <c r="Q17" i="1"/>
  <c r="L101" i="1"/>
  <c r="Q18" i="1" s="1"/>
  <c r="H138" i="1" l="1"/>
  <c r="L10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<sst xmlns="http://schemas.openxmlformats.org/spreadsheetml/2006/main" count="292" uniqueCount="129">
  <si>
    <t>Annual Growth Rate</t>
  </si>
  <si>
    <t>Annual BA Savings</t>
  </si>
  <si>
    <t>Annual Outlay Savings</t>
  </si>
  <si>
    <t>BA Summary</t>
  </si>
  <si>
    <t>New Authority</t>
  </si>
  <si>
    <t>Current Authority</t>
  </si>
  <si>
    <t>New Outlays</t>
  </si>
  <si>
    <t>Current Outlays</t>
  </si>
  <si>
    <t>Difference in Outlays</t>
  </si>
  <si>
    <t>Interest</t>
  </si>
  <si>
    <t>Total</t>
  </si>
  <si>
    <t>Waterfall</t>
  </si>
  <si>
    <t>Year:</t>
  </si>
  <si>
    <t>BA:</t>
  </si>
  <si>
    <t>Total Outlays</t>
  </si>
  <si>
    <t>Interest Matrix (BA Difference)</t>
  </si>
  <si>
    <t>Total Shock</t>
  </si>
  <si>
    <t>Debt service:</t>
  </si>
  <si>
    <t>Year</t>
  </si>
  <si>
    <t>Shock in--</t>
  </si>
  <si>
    <t>Debt</t>
  </si>
  <si>
    <t>Current Debt</t>
  </si>
  <si>
    <t>GDP</t>
  </si>
  <si>
    <t>Change</t>
  </si>
  <si>
    <t>New Debt</t>
  </si>
  <si>
    <t>2023 Discretionary</t>
  </si>
  <si>
    <t>year</t>
  </si>
  <si>
    <t>24-33</t>
  </si>
  <si>
    <t>total</t>
  </si>
  <si>
    <t>Discretionary</t>
  </si>
  <si>
    <t>Diff</t>
  </si>
  <si>
    <t>BA difference</t>
  </si>
  <si>
    <t>10 year</t>
  </si>
  <si>
    <t>2 year</t>
  </si>
  <si>
    <t>Outlay Diff</t>
  </si>
  <si>
    <t>Average BA proposed (24-33)</t>
  </si>
  <si>
    <t>"Custom" BA by year</t>
  </si>
  <si>
    <t>Growth Rate Options</t>
  </si>
  <si>
    <t>Grow with GDP</t>
  </si>
  <si>
    <t>Rate</t>
  </si>
  <si>
    <t>FY 2024 Budget Authority (BA)</t>
  </si>
  <si>
    <t>Future BA Growth Path</t>
  </si>
  <si>
    <t>President's Path</t>
  </si>
  <si>
    <t>Budget Authority (Base)</t>
  </si>
  <si>
    <t>Table S-7, President's Budget</t>
  </si>
  <si>
    <t>billion</t>
  </si>
  <si>
    <t>trillion</t>
  </si>
  <si>
    <t>(Billions of Dollars)</t>
  </si>
  <si>
    <t>Baseline Path</t>
  </si>
  <si>
    <t xml:space="preserve"> GDPPI</t>
  </si>
  <si>
    <t>Growth with Inflation (GDPPI)</t>
  </si>
  <si>
    <t>trillion, with interest</t>
  </si>
  <si>
    <t>This discretionary path would:</t>
  </si>
  <si>
    <t>2-Year Savings:</t>
  </si>
  <si>
    <t>10-Year Savings:</t>
  </si>
  <si>
    <t>Twitter</t>
  </si>
  <si>
    <t>Link</t>
  </si>
  <si>
    <t>https://twitter.com/intent/tweet?text=My%20discretionary%20spending%20plan%20saves%20$</t>
  </si>
  <si>
    <t>2024 Level</t>
  </si>
  <si>
    <t>Build Your Own Discretionary Budget</t>
  </si>
  <si>
    <t xml:space="preserve">Contact us with questions or concerns at: </t>
  </si>
  <si>
    <t>https://www.crfb.org/contact</t>
  </si>
  <si>
    <t>%20trillion%20over%20a%20decade.%20What%20about%20yours?%20%23BYOBudget%20@BudgetHawks</t>
  </si>
  <si>
    <t>Defense Baseline</t>
  </si>
  <si>
    <t>DEFENSE</t>
  </si>
  <si>
    <t>NONDEFENSE</t>
  </si>
  <si>
    <t>Nondefense Baseline</t>
  </si>
  <si>
    <t>DEFENSE BA Summary</t>
  </si>
  <si>
    <t>NONDEFENSE BA Summary</t>
  </si>
  <si>
    <t>Spendout Rates:</t>
  </si>
  <si>
    <t>Defense Discretionary</t>
  </si>
  <si>
    <t>Nondefense Discretionary</t>
  </si>
  <si>
    <t>Discretionary Baseline</t>
  </si>
  <si>
    <t>Combined Disc. Outlay decrease</t>
  </si>
  <si>
    <r>
      <rPr>
        <b/>
        <sz val="12"/>
        <color rgb="FFFF0000"/>
        <rFont val="Wingdings 3"/>
        <family val="1"/>
        <charset val="2"/>
      </rPr>
      <t>^</t>
    </r>
    <r>
      <rPr>
        <b/>
        <i/>
        <sz val="12"/>
        <color rgb="FFFF0000"/>
        <rFont val="Calibri"/>
        <family val="2"/>
        <scheme val="minor"/>
      </rPr>
      <t>Design Your Plan</t>
    </r>
    <r>
      <rPr>
        <b/>
        <sz val="12"/>
        <color rgb="FFFF0000"/>
        <rFont val="Wingdings 3"/>
        <family val="1"/>
        <charset val="2"/>
      </rPr>
      <t>_</t>
    </r>
  </si>
  <si>
    <t>Choose between the tabs below to access the models.</t>
  </si>
  <si>
    <t>Discretionary Model</t>
  </si>
  <si>
    <t>Defense &amp; Nondefense Model</t>
  </si>
  <si>
    <t>New Budget Authority</t>
  </si>
  <si>
    <t>Custom Growth Rate(s):</t>
  </si>
  <si>
    <t>%20%0Ahttps://www.crfb.org/blogs/build-your-own-discretionary-budget</t>
  </si>
  <si>
    <r>
      <rPr>
        <b/>
        <i/>
        <sz val="12"/>
        <color theme="0"/>
        <rFont val="Calibri"/>
        <family val="2"/>
        <scheme val="minor"/>
      </rPr>
      <t>Build Your Own Discretionary Budget</t>
    </r>
    <r>
      <rPr>
        <sz val="12"/>
        <color theme="0"/>
        <rFont val="Calibri"/>
        <family val="2"/>
        <scheme val="minor"/>
      </rPr>
      <t xml:space="preserve"> allows users to set future appropriations levels and learn how much these levels will cost or save relative to current projections. Users can set appropriations levels for Fiscal Year (FY) 2024 through the drop-down menu on the top left of the model, and they can set the future growth rate of appropriations through the drop-down menu on the top right of the screen. Users can choose from pre-set options or select "custom" options to set their own levels and growth rates.</t>
    </r>
  </si>
  <si>
    <r>
      <t xml:space="preserve">Roughly three-quarters of the federal budget is on autopilot, spent on interest and mandatory programs such as Social Security and Medicare. </t>
    </r>
    <r>
      <rPr>
        <b/>
        <i/>
        <sz val="12"/>
        <color theme="0"/>
        <rFont val="Calibri"/>
        <family val="2"/>
        <scheme val="minor"/>
      </rPr>
      <t>Build Your Own Discretionary Budget</t>
    </r>
    <r>
      <rPr>
        <sz val="12"/>
        <color theme="0"/>
        <rFont val="Calibri"/>
        <family val="2"/>
        <scheme val="minor"/>
      </rPr>
      <t xml:space="preserve"> focuses on the one-quarter of the budget, known as discretionary spending, that Congress appropriates annually. </t>
    </r>
    <r>
      <rPr>
        <b/>
        <i/>
        <sz val="12"/>
        <color theme="0"/>
        <rFont val="Calibri"/>
        <family val="2"/>
        <scheme val="minor"/>
      </rPr>
      <t xml:space="preserve">Build Your Own Discretionary Budget </t>
    </r>
    <r>
      <rPr>
        <sz val="12"/>
        <color theme="0"/>
        <rFont val="Calibri"/>
        <family val="2"/>
        <scheme val="minor"/>
      </rPr>
      <t>sets top-line numbers, allowing Congress to determine how to divide that funding by agency and function.</t>
    </r>
  </si>
  <si>
    <t>President's Path (Split)</t>
  </si>
  <si>
    <t>Defense BA</t>
  </si>
  <si>
    <t>ND</t>
  </si>
  <si>
    <t>VA Medical Care Program</t>
  </si>
  <si>
    <t>Combined</t>
  </si>
  <si>
    <t>10-Year Debt Reduction:</t>
  </si>
  <si>
    <t>To use the models, please download the Excel file, open it, and sign in to your Microsoft account on Excel. The models may not work properly if you are using an outdated version of Excel, specifically Excel 2019 or a prior version.</t>
  </si>
  <si>
    <t>President's Request 2024</t>
  </si>
  <si>
    <t>President's Request 2024 Defense</t>
  </si>
  <si>
    <t>President's Request 2024 nondefense</t>
  </si>
  <si>
    <t>Freeze at FY 2023</t>
  </si>
  <si>
    <t>Revert to FY 2022</t>
  </si>
  <si>
    <t>Revert to FY 2021</t>
  </si>
  <si>
    <t>Revert to FY 2020</t>
  </si>
  <si>
    <t>Revert to FY 2019</t>
  </si>
  <si>
    <t>Cut 1% Below FY 2023</t>
  </si>
  <si>
    <t>Cut 5% Below FY 2023</t>
  </si>
  <si>
    <t>Grow 1% Above FY 2023</t>
  </si>
  <si>
    <t>Grow 2% Above FY 2023</t>
  </si>
  <si>
    <t>Custom Level</t>
  </si>
  <si>
    <t>Custom Growth Rate</t>
  </si>
  <si>
    <t>Grow with the Economy (GDP)</t>
  </si>
  <si>
    <t>2024 LIST</t>
  </si>
  <si>
    <t xml:space="preserve"> 2024 LIST</t>
  </si>
  <si>
    <t>25-33 LIST</t>
  </si>
  <si>
    <t>Grow with Prices (GDPPI)</t>
  </si>
  <si>
    <t>Grow 2% Per Year</t>
  </si>
  <si>
    <t>Cut 1% Per Year</t>
  </si>
  <si>
    <t>Custom Growth Rates</t>
  </si>
  <si>
    <t>Freeze</t>
  </si>
  <si>
    <t>Grow 1% Per Year</t>
  </si>
  <si>
    <r>
      <rPr>
        <b/>
        <i/>
        <sz val="12"/>
        <color theme="0"/>
        <rFont val="Calibri"/>
        <family val="2"/>
        <scheme val="minor"/>
      </rPr>
      <t>Build Your Own Discretionary Budget</t>
    </r>
    <r>
      <rPr>
        <sz val="12"/>
        <color theme="0"/>
        <rFont val="Calibri"/>
        <family val="2"/>
        <scheme val="minor"/>
      </rPr>
      <t xml:space="preserve"> has two models, which can be selected from the tabs below. The Discretionary Model allows users to set overall appropriations levels, and the Defense &amp; Nondefense Model allows users to set defense and nondefense budget authority levels separately.</t>
    </r>
  </si>
  <si>
    <r>
      <rPr>
        <b/>
        <i/>
        <sz val="12"/>
        <color theme="0"/>
        <rFont val="Calibri"/>
        <family val="2"/>
        <scheme val="minor"/>
      </rPr>
      <t xml:space="preserve">Build Your Own Discretionary Budget </t>
    </r>
    <r>
      <rPr>
        <sz val="12"/>
        <color theme="0"/>
        <rFont val="Calibri"/>
        <family val="2"/>
        <scheme val="minor"/>
      </rPr>
      <t>sets Budget Authority (BA) for "base" discretionary spending, excluding one-time emergency spending. Specifically, the levels in this tool are set before adjustments for program integrity, wildfire suppression, and regular adjustments for disaster relief, and they also exclude funding related to the Infrastructure Investment and Jobs Act (IIJA), funding for Ukraine, and other one-time emergency and supplemental disaster appropriations. In a discretionary spending deal, policymakers may choose to include or exclude different parts of the discretionary budget, and thus costs and savings could differ modestly.</t>
    </r>
  </si>
  <si>
    <t>Note: Users set Budget Authority (BA), which then spends out over time as outlays. Figures assume caps and levels apply to ordinary appropriations before adjustments (see Introduction tab for more details). Policymakers could choose to apply the caps differently, which would result in different levels of total savings. Outlay effects may also differ modestly depending on how specific budget accounts are affected.</t>
  </si>
  <si>
    <t>Limit, Save, Grow</t>
  </si>
  <si>
    <t>FRA with Side Agreements</t>
  </si>
  <si>
    <t>1% in 2025</t>
  </si>
  <si>
    <t>1% through 2029</t>
  </si>
  <si>
    <t>Defense</t>
  </si>
  <si>
    <t>Nondefense</t>
  </si>
  <si>
    <t>Grow 1% in 2025</t>
  </si>
  <si>
    <t>Grow 1% through 2029</t>
  </si>
  <si>
    <t>Fiscal Responsibility Act (FRA)</t>
  </si>
  <si>
    <r>
      <rPr>
        <b/>
        <i/>
        <sz val="12"/>
        <color theme="0"/>
        <rFont val="Calibri"/>
        <family val="2"/>
        <scheme val="minor"/>
      </rPr>
      <t>Build Your Own Discretionary Budget</t>
    </r>
    <r>
      <rPr>
        <sz val="12"/>
        <color theme="0"/>
        <rFont val="Calibri"/>
        <family val="2"/>
        <scheme val="minor"/>
      </rPr>
      <t xml:space="preserve"> was built by the Committee for a Responsible Federal Budget with data from the Congressional Budget Office (CBO) and Office of Management &amp; Budget (OMB). It was last updated on 6/6/2023. </t>
    </r>
    <r>
      <rPr>
        <b/>
        <i/>
        <sz val="12"/>
        <color theme="0"/>
        <rFont val="Calibri"/>
        <family val="2"/>
        <scheme val="minor"/>
      </rPr>
      <t>Build Your Own Discretionary Budget</t>
    </r>
    <r>
      <rPr>
        <sz val="12"/>
        <color theme="0"/>
        <rFont val="Calibri"/>
        <family val="2"/>
        <scheme val="minor"/>
      </rPr>
      <t xml:space="preserve"> is still in beta-testing mode, so please contact us if you identify any errors or believe we should add additional features. </t>
    </r>
  </si>
  <si>
    <t>June 2023</t>
  </si>
  <si>
    <t>Source: Committee for a Responsible Federal Budget, Congressional Budget Office (CBO), and Office of Management and Budget. Estimates are relative to CBO's May 2023 baseline and do not incorporate the Fiscal Responsibility 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</si>
</sst>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quot;$&quot;#,##0"/>
    <numFmt numFmtId="165" formatCode="0.0000"/>
    <numFmt numFmtId="166" formatCode="0.0"/>
    <numFmt numFmtId="167" formatCode="_(* #,##0.0_);_(* \(#,##0.0\);_(* &quot;-&quot;??_);_(@_)"/>
    <numFmt numFmtId="168" formatCode="0.0%"/>
    <numFmt numFmtId="169" formatCode="&quot;$&quot;#,##0.0;[Red]\-&quot;$&quot;#,##0.0"/>
    <numFmt numFmtId="170" formatCode="&quot;$&quot;#,##0;[Red]\-&quot;$&quot;#,##0"/>
    <numFmt numFmtId="171" formatCode="\(&quot;$&quot;#,##0;[Red]\(\-&quot;$&quot;#,##0"/>
    <numFmt numFmtId="172" formatCode="\(&quot;$&quot;#,##0.0;[Red]\(\-&quot;$&quot;#,##0.0"/>
  </numFmts>
  <fonts count="39">
    <font>
      <sz val="11"/>
      <color theme="1"/>
      <name val="Calibri"/>
      <family val="2"/>
      <scheme val="minor"/>
    </font>
    <font>
      <sz val="11"/>
      <color theme="1"/>
      <name val="Calibri"/>
      <family val="2"/>
      <scheme val="minor"/>
    </font>
    <font>
      <b/>
      <sz val="11"/>
      <color theme="1"/>
      <name val="Calibri"/>
      <family val="2"/>
      <scheme val="minor"/>
    </font>
    <font>
      <b/>
      <sz val="14"/>
      <color theme="0"/>
      <name val="Arial"/>
      <family val="2"/>
    </font>
    <font>
      <b/>
      <sz val="10"/>
      <color theme="0"/>
      <name val="Arial"/>
      <family val="2"/>
    </font>
    <font>
      <b/>
      <i/>
      <sz val="11"/>
      <color theme="0"/>
      <name val="Calibri"/>
      <family val="2"/>
      <scheme val="minor"/>
    </font>
    <font>
      <b/>
      <sz val="12"/>
      <color theme="1"/>
      <name val="Calibri"/>
      <family val="2"/>
      <scheme val="minor"/>
    </font>
    <font>
      <b/>
      <sz val="14"/>
      <color theme="1"/>
      <name val="Calibri"/>
      <family val="2"/>
      <scheme val="minor"/>
    </font>
    <font>
      <b/>
      <u/>
      <sz val="11"/>
      <color theme="1"/>
      <name val="Calibri"/>
      <family val="2"/>
      <scheme val="minor"/>
    </font>
    <font>
      <sz val="12"/>
      <name val="Arial"/>
      <family val="2"/>
    </font>
    <font>
      <b/>
      <i/>
      <sz val="12"/>
      <color theme="1"/>
      <name val="Calibri"/>
      <family val="2"/>
      <scheme val="minor"/>
    </font>
    <font>
      <b/>
      <sz val="14"/>
      <color theme="0"/>
      <name val="Calibri"/>
      <family val="2"/>
      <scheme val="minor"/>
    </font>
    <font>
      <b/>
      <sz val="12"/>
      <color theme="0"/>
      <name val="Calibri"/>
      <family val="2"/>
      <scheme val="minor"/>
    </font>
    <font>
      <i/>
      <sz val="11"/>
      <color theme="0"/>
      <name val="Calibri"/>
      <family val="2"/>
      <scheme val="minor"/>
    </font>
    <font>
      <b/>
      <i/>
      <sz val="14"/>
      <color theme="0"/>
      <name val="Calibri"/>
      <family val="2"/>
      <scheme val="minor"/>
    </font>
    <font>
      <b/>
      <i/>
      <sz val="12"/>
      <color theme="0"/>
      <name val="Calibri"/>
      <family val="2"/>
      <scheme val="minor"/>
    </font>
    <font>
      <i/>
      <sz val="11"/>
      <color theme="1"/>
      <name val="Calibri"/>
      <family val="2"/>
      <scheme val="minor"/>
    </font>
    <font>
      <sz val="11"/>
      <color theme="0"/>
      <name val="Calibri"/>
      <family val="2"/>
      <scheme val="minor"/>
    </font>
    <font>
      <sz val="12"/>
      <color theme="1"/>
      <name val="Calibri"/>
      <family val="2"/>
      <scheme val="minor"/>
    </font>
    <font>
      <sz val="14"/>
      <color theme="1"/>
      <name val="Calibri"/>
      <family val="2"/>
      <scheme val="minor"/>
    </font>
    <font>
      <b/>
      <sz val="12"/>
      <color rgb="FF833C0C"/>
      <name val="Calibri"/>
      <family val="2"/>
      <scheme val="minor"/>
    </font>
    <font>
      <b/>
      <i/>
      <sz val="11"/>
      <color rgb="FF833C0C"/>
      <name val="Calibri"/>
      <family val="2"/>
      <scheme val="minor"/>
    </font>
    <font>
      <sz val="12"/>
      <color theme="0"/>
      <name val="Calibri"/>
      <family val="2"/>
      <scheme val="minor"/>
    </font>
    <font>
      <i/>
      <sz val="12"/>
      <color theme="0"/>
      <name val="Calibri"/>
      <family val="2"/>
      <scheme val="minor"/>
    </font>
    <font>
      <i/>
      <sz val="14"/>
      <color theme="1"/>
      <name val="Calibri"/>
      <family val="2"/>
      <scheme val="minor"/>
    </font>
    <font>
      <u/>
      <sz val="11"/>
      <color theme="10"/>
      <name val="Calibri"/>
      <family val="2"/>
      <scheme val="minor"/>
    </font>
    <font>
      <b/>
      <sz val="18"/>
      <color theme="0"/>
      <name val="Arial"/>
      <family val="2"/>
    </font>
    <font>
      <b/>
      <sz val="16"/>
      <color theme="0"/>
      <name val="Wingdings 3"/>
      <family val="1"/>
      <charset val="2"/>
    </font>
    <font>
      <i/>
      <u/>
      <sz val="11"/>
      <color theme="0"/>
      <name val="Calibri"/>
      <family val="2"/>
      <scheme val="minor"/>
    </font>
    <font>
      <b/>
      <i/>
      <sz val="12"/>
      <color rgb="FFFF0000"/>
      <name val="Calibri"/>
      <family val="2"/>
      <scheme val="minor"/>
    </font>
    <font>
      <b/>
      <sz val="12"/>
      <color rgb="FFFF0000"/>
      <name val="Wingdings 3"/>
      <family val="1"/>
      <charset val="2"/>
    </font>
    <font>
      <b/>
      <i/>
      <sz val="12"/>
      <color rgb="FFFF0000"/>
      <name val="Calibri"/>
      <family val="1"/>
      <charset val="2"/>
      <scheme val="minor"/>
    </font>
    <font>
      <sz val="16"/>
      <color theme="0"/>
      <name val="Calibri"/>
      <family val="2"/>
      <scheme val="minor"/>
    </font>
    <font>
      <b/>
      <sz val="16"/>
      <color theme="0"/>
      <name val="Calibri"/>
      <family val="2"/>
      <scheme val="minor"/>
    </font>
    <font>
      <b/>
      <sz val="11"/>
      <color rgb="FF003470"/>
      <name val="Calibri"/>
      <family val="2"/>
      <scheme val="minor"/>
    </font>
    <font>
      <b/>
      <i/>
      <sz val="11"/>
      <color rgb="FF003470"/>
      <name val="Calibri"/>
      <family val="2"/>
      <scheme val="minor"/>
    </font>
    <font>
      <b/>
      <i/>
      <sz val="12"/>
      <color rgb="FF9BC2E6"/>
      <name val="Calibri"/>
      <family val="2"/>
      <scheme val="minor"/>
    </font>
    <font>
      <b/>
      <sz val="12"/>
      <color rgb="FF9BC2E6"/>
      <name val="Calibri"/>
      <family val="2"/>
      <scheme val="minor"/>
    </font>
    <font>
      <b/>
      <sz val="16"/>
      <color theme="1"/>
      <name val="Calibri"/>
      <family val="2"/>
      <scheme val="minor"/>
    </font>
  </fonts>
  <fills count="6">
    <fill>
      <patternFill patternType="none"/>
    </fill>
    <fill>
      <patternFill patternType="gray125"/>
    </fill>
    <fill>
      <patternFill patternType="solid">
        <fgColor rgb="FF003470"/>
        <bgColor indexed="64"/>
      </patternFill>
    </fill>
    <fill>
      <patternFill patternType="solid">
        <fgColor theme="0"/>
        <bgColor indexed="64"/>
      </patternFill>
    </fill>
    <fill>
      <patternFill patternType="solid">
        <fgColor rgb="FF9BC2E6"/>
        <bgColor indexed="64"/>
      </patternFill>
    </fill>
    <fill>
      <patternFill patternType="solid">
        <fgColor rgb="FFFFFF00"/>
        <bgColor indexed="64"/>
      </patternFill>
    </fill>
  </fills>
  <borders count="17">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5" fillId="0" borderId="0" applyNumberFormat="0" applyFill="0" applyBorder="0" applyAlignment="0" applyProtection="0"/>
  </cellStyleXfs>
  <cellXfs count="137">
    <xf numFmtId="0" fontId="0" fillId="0" borderId="0" xfId="0"/>
    <xf numFmtId="0" fontId="0" fillId="2" borderId="0" xfId="0" applyFill="1"/>
    <xf numFmtId="0" fontId="8" fillId="0" borderId="0" xfId="0" applyFont="1" applyAlignment="1">
      <alignment horizontal="center"/>
    </xf>
    <xf numFmtId="3" fontId="0" fillId="0" borderId="0" xfId="0" applyNumberFormat="1"/>
    <xf numFmtId="1" fontId="0" fillId="0" borderId="0" xfId="0" applyNumberFormat="1"/>
    <xf numFmtId="0" fontId="0" fillId="0" borderId="0" xfId="0" applyAlignment="1">
      <alignment horizontal="center"/>
    </xf>
    <xf numFmtId="0" fontId="2" fillId="0" borderId="0" xfId="0" applyFont="1"/>
    <xf numFmtId="165" fontId="9" fillId="0" borderId="0" xfId="0" applyNumberFormat="1" applyFont="1"/>
    <xf numFmtId="3" fontId="9" fillId="0" borderId="0" xfId="0" applyNumberFormat="1" applyFont="1"/>
    <xf numFmtId="0" fontId="8" fillId="0" borderId="0" xfId="0" applyFont="1"/>
    <xf numFmtId="166" fontId="0" fillId="0" borderId="0" xfId="0" applyNumberFormat="1"/>
    <xf numFmtId="167" fontId="0" fillId="0" borderId="0" xfId="1" applyNumberFormat="1" applyFont="1"/>
    <xf numFmtId="2" fontId="0" fillId="0" borderId="0" xfId="0" applyNumberFormat="1"/>
    <xf numFmtId="0" fontId="5" fillId="2" borderId="0" xfId="0" applyFont="1" applyFill="1" applyAlignment="1">
      <alignment vertical="center"/>
    </xf>
    <xf numFmtId="0" fontId="5" fillId="2" borderId="0" xfId="0" applyFont="1" applyFill="1" applyAlignment="1">
      <alignment horizontal="center" vertical="center"/>
    </xf>
    <xf numFmtId="0" fontId="5" fillId="2" borderId="0" xfId="0" applyFont="1" applyFill="1" applyAlignment="1">
      <alignment horizontal="right" vertical="center"/>
    </xf>
    <xf numFmtId="0" fontId="0" fillId="0" borderId="0" xfId="0" applyAlignment="1">
      <alignment horizontal="right"/>
    </xf>
    <xf numFmtId="0" fontId="8" fillId="0" borderId="0" xfId="0" applyFont="1" applyAlignment="1">
      <alignment horizontal="right"/>
    </xf>
    <xf numFmtId="168" fontId="0" fillId="0" borderId="0" xfId="2" applyNumberFormat="1" applyFont="1"/>
    <xf numFmtId="0" fontId="0" fillId="2" borderId="0" xfId="0" applyFill="1" applyAlignment="1">
      <alignment vertical="top"/>
    </xf>
    <xf numFmtId="0" fontId="5" fillId="2" borderId="0" xfId="0" applyFont="1" applyFill="1" applyAlignment="1">
      <alignment horizontal="center" vertical="top"/>
    </xf>
    <xf numFmtId="0" fontId="5" fillId="2" borderId="0" xfId="0" applyFont="1" applyFill="1" applyAlignment="1">
      <alignment horizontal="center"/>
    </xf>
    <xf numFmtId="0" fontId="16" fillId="0" borderId="0" xfId="0" applyFont="1" applyAlignment="1">
      <alignment horizontal="right"/>
    </xf>
    <xf numFmtId="0" fontId="25" fillId="3" borderId="0" xfId="3" applyFill="1"/>
    <xf numFmtId="0" fontId="25" fillId="0" borderId="0" xfId="3"/>
    <xf numFmtId="170" fontId="0" fillId="0" borderId="0" xfId="0" applyNumberFormat="1"/>
    <xf numFmtId="169" fontId="0" fillId="0" borderId="0" xfId="0" applyNumberFormat="1"/>
    <xf numFmtId="9" fontId="0" fillId="0" borderId="0" xfId="0" applyNumberFormat="1"/>
    <xf numFmtId="0" fontId="4" fillId="2" borderId="0" xfId="0" applyFont="1" applyFill="1"/>
    <xf numFmtId="0" fontId="3" fillId="2" borderId="0" xfId="0" applyFont="1" applyFill="1"/>
    <xf numFmtId="0" fontId="3" fillId="2" borderId="0" xfId="0" applyFont="1" applyFill="1" applyAlignment="1">
      <alignment vertical="center"/>
    </xf>
    <xf numFmtId="0" fontId="6" fillId="4" borderId="7" xfId="0" applyFont="1" applyFill="1" applyBorder="1" applyAlignment="1">
      <alignment horizontal="center"/>
    </xf>
    <xf numFmtId="0" fontId="20" fillId="4" borderId="7" xfId="0" applyFont="1" applyFill="1" applyBorder="1" applyAlignment="1">
      <alignment horizontal="center"/>
    </xf>
    <xf numFmtId="0" fontId="6" fillId="4" borderId="8" xfId="0" applyFont="1" applyFill="1" applyBorder="1" applyAlignment="1">
      <alignment horizontal="center"/>
    </xf>
    <xf numFmtId="0" fontId="0" fillId="4" borderId="7" xfId="0" applyFill="1" applyBorder="1"/>
    <xf numFmtId="0" fontId="17" fillId="2" borderId="0" xfId="0" applyFont="1" applyFill="1" applyAlignment="1">
      <alignment wrapText="1"/>
    </xf>
    <xf numFmtId="0" fontId="27" fillId="2" borderId="0" xfId="0" applyFont="1" applyFill="1" applyAlignment="1">
      <alignment vertical="center"/>
    </xf>
    <xf numFmtId="0" fontId="27" fillId="2" borderId="0" xfId="0" applyFont="1" applyFill="1" applyAlignment="1">
      <alignment horizontal="right" vertical="center"/>
    </xf>
    <xf numFmtId="0" fontId="31" fillId="2" borderId="0" xfId="0" applyFont="1" applyFill="1" applyAlignment="1">
      <alignment horizontal="center" vertical="center"/>
    </xf>
    <xf numFmtId="0" fontId="0" fillId="4" borderId="9" xfId="0" applyFill="1" applyBorder="1" applyProtection="1">
      <protection hidden="1"/>
    </xf>
    <xf numFmtId="0" fontId="6" fillId="4" borderId="10" xfId="0" applyFont="1" applyFill="1" applyBorder="1" applyAlignment="1" applyProtection="1">
      <alignment horizontal="center"/>
      <protection hidden="1"/>
    </xf>
    <xf numFmtId="164" fontId="12" fillId="2" borderId="14" xfId="0" applyNumberFormat="1" applyFont="1" applyFill="1" applyBorder="1" applyAlignment="1" applyProtection="1">
      <alignment horizontal="center"/>
      <protection hidden="1"/>
    </xf>
    <xf numFmtId="164" fontId="12" fillId="2" borderId="15" xfId="0" applyNumberFormat="1" applyFont="1" applyFill="1" applyBorder="1" applyAlignment="1" applyProtection="1">
      <alignment horizontal="center"/>
      <protection hidden="1"/>
    </xf>
    <xf numFmtId="164" fontId="12" fillId="2" borderId="16" xfId="0" applyNumberFormat="1" applyFont="1" applyFill="1" applyBorder="1" applyAlignment="1" applyProtection="1">
      <alignment horizontal="center"/>
      <protection hidden="1"/>
    </xf>
    <xf numFmtId="164" fontId="6" fillId="3" borderId="2" xfId="0" applyNumberFormat="1" applyFont="1" applyFill="1" applyBorder="1" applyAlignment="1" applyProtection="1">
      <alignment horizontal="center"/>
      <protection hidden="1"/>
    </xf>
    <xf numFmtId="168" fontId="23" fillId="2" borderId="0" xfId="2" applyNumberFormat="1" applyFont="1" applyFill="1" applyBorder="1" applyAlignment="1" applyProtection="1">
      <alignment horizontal="center"/>
      <protection hidden="1"/>
    </xf>
    <xf numFmtId="168" fontId="15" fillId="2" borderId="0" xfId="2" applyNumberFormat="1" applyFont="1" applyFill="1" applyBorder="1" applyAlignment="1" applyProtection="1">
      <alignment horizontal="center"/>
      <protection hidden="1"/>
    </xf>
    <xf numFmtId="0" fontId="0" fillId="4" borderId="11" xfId="0" applyFill="1" applyBorder="1" applyProtection="1">
      <protection hidden="1"/>
    </xf>
    <xf numFmtId="0" fontId="0" fillId="4" borderId="12" xfId="0" applyFill="1" applyBorder="1" applyProtection="1">
      <protection hidden="1"/>
    </xf>
    <xf numFmtId="0" fontId="6" fillId="4" borderId="13" xfId="0" applyFont="1" applyFill="1" applyBorder="1" applyAlignment="1" applyProtection="1">
      <alignment horizontal="center"/>
      <protection hidden="1"/>
    </xf>
    <xf numFmtId="0" fontId="0" fillId="2" borderId="0" xfId="0" applyFill="1" applyProtection="1">
      <protection hidden="1"/>
    </xf>
    <xf numFmtId="170" fontId="7" fillId="4" borderId="4" xfId="0" applyNumberFormat="1" applyFont="1" applyFill="1" applyBorder="1" applyAlignment="1" applyProtection="1">
      <alignment horizontal="right" vertical="center"/>
      <protection hidden="1"/>
    </xf>
    <xf numFmtId="164" fontId="7" fillId="4" borderId="4" xfId="0" applyNumberFormat="1" applyFont="1" applyFill="1" applyBorder="1" applyAlignment="1" applyProtection="1">
      <alignment vertical="center"/>
      <protection hidden="1"/>
    </xf>
    <xf numFmtId="171" fontId="24" fillId="4" borderId="4" xfId="0" applyNumberFormat="1" applyFont="1" applyFill="1" applyBorder="1" applyAlignment="1" applyProtection="1">
      <alignment horizontal="right" vertical="center"/>
      <protection hidden="1"/>
    </xf>
    <xf numFmtId="164" fontId="24" fillId="4" borderId="4" xfId="0" applyNumberFormat="1" applyFont="1" applyFill="1" applyBorder="1" applyAlignment="1" applyProtection="1">
      <alignment vertical="center"/>
      <protection hidden="1"/>
    </xf>
    <xf numFmtId="164" fontId="24" fillId="4" borderId="5" xfId="0" applyNumberFormat="1" applyFont="1" applyFill="1" applyBorder="1" applyAlignment="1" applyProtection="1">
      <alignment vertical="center"/>
      <protection hidden="1"/>
    </xf>
    <xf numFmtId="0" fontId="19" fillId="2" borderId="0" xfId="0" applyFont="1" applyFill="1" applyAlignment="1" applyProtection="1">
      <alignment horizontal="center"/>
      <protection hidden="1"/>
    </xf>
    <xf numFmtId="0" fontId="18" fillId="2" borderId="0" xfId="0" applyFont="1" applyFill="1" applyProtection="1">
      <protection hidden="1"/>
    </xf>
    <xf numFmtId="0" fontId="6" fillId="4" borderId="9" xfId="0" applyFont="1" applyFill="1" applyBorder="1" applyAlignment="1" applyProtection="1">
      <alignment vertical="top"/>
      <protection hidden="1"/>
    </xf>
    <xf numFmtId="0" fontId="7" fillId="4" borderId="0" xfId="0" applyFont="1" applyFill="1" applyAlignment="1" applyProtection="1">
      <alignment vertical="center"/>
      <protection hidden="1"/>
    </xf>
    <xf numFmtId="169" fontId="7" fillId="4" borderId="4" xfId="0" applyNumberFormat="1" applyFont="1" applyFill="1" applyBorder="1" applyAlignment="1" applyProtection="1">
      <alignment vertical="center"/>
      <protection hidden="1"/>
    </xf>
    <xf numFmtId="172" fontId="24" fillId="4" borderId="4" xfId="0" applyNumberFormat="1" applyFont="1" applyFill="1" applyBorder="1" applyAlignment="1" applyProtection="1">
      <alignment vertical="center"/>
      <protection hidden="1"/>
    </xf>
    <xf numFmtId="164" fontId="24" fillId="4" borderId="4" xfId="0" applyNumberFormat="1" applyFont="1" applyFill="1" applyBorder="1" applyAlignment="1" applyProtection="1">
      <alignment horizontal="left" vertical="center"/>
      <protection hidden="1"/>
    </xf>
    <xf numFmtId="0" fontId="24" fillId="4" borderId="5" xfId="0" applyFont="1" applyFill="1" applyBorder="1" applyAlignment="1" applyProtection="1">
      <alignment vertical="center"/>
      <protection hidden="1"/>
    </xf>
    <xf numFmtId="0" fontId="6" fillId="4" borderId="0" xfId="0" applyFont="1" applyFill="1" applyProtection="1">
      <protection hidden="1"/>
    </xf>
    <xf numFmtId="164" fontId="7" fillId="4" borderId="5" xfId="0" applyNumberFormat="1" applyFont="1" applyFill="1" applyBorder="1" applyAlignment="1" applyProtection="1">
      <alignment vertical="center"/>
      <protection hidden="1"/>
    </xf>
    <xf numFmtId="0" fontId="6" fillId="4" borderId="11" xfId="0" applyFont="1" applyFill="1" applyBorder="1" applyAlignment="1" applyProtection="1">
      <alignment vertical="top"/>
      <protection hidden="1"/>
    </xf>
    <xf numFmtId="0" fontId="6" fillId="4" borderId="12" xfId="0" applyFont="1" applyFill="1" applyBorder="1" applyProtection="1">
      <protection hidden="1"/>
    </xf>
    <xf numFmtId="0" fontId="21" fillId="4" borderId="6" xfId="0" applyFont="1" applyFill="1" applyBorder="1" applyAlignment="1" applyProtection="1">
      <alignment horizontal="left" vertical="top"/>
      <protection hidden="1"/>
    </xf>
    <xf numFmtId="0" fontId="0" fillId="4" borderId="7" xfId="0" applyFill="1" applyBorder="1" applyProtection="1">
      <protection hidden="1"/>
    </xf>
    <xf numFmtId="0" fontId="20" fillId="4" borderId="7" xfId="0" applyFont="1" applyFill="1" applyBorder="1" applyAlignment="1" applyProtection="1">
      <alignment horizontal="center"/>
      <protection hidden="1"/>
    </xf>
    <xf numFmtId="0" fontId="6" fillId="4" borderId="8" xfId="0" applyFont="1" applyFill="1" applyBorder="1" applyAlignment="1" applyProtection="1">
      <alignment horizontal="center"/>
      <protection hidden="1"/>
    </xf>
    <xf numFmtId="0" fontId="6" fillId="4" borderId="9" xfId="0" applyFont="1" applyFill="1" applyBorder="1" applyAlignment="1" applyProtection="1">
      <alignment horizontal="center"/>
      <protection hidden="1"/>
    </xf>
    <xf numFmtId="170" fontId="6" fillId="4" borderId="0" xfId="0" applyNumberFormat="1" applyFont="1" applyFill="1" applyAlignment="1" applyProtection="1">
      <alignment horizontal="center"/>
      <protection hidden="1"/>
    </xf>
    <xf numFmtId="0" fontId="6" fillId="4" borderId="11" xfId="0" applyFont="1" applyFill="1" applyBorder="1" applyAlignment="1" applyProtection="1">
      <alignment horizontal="center"/>
      <protection hidden="1"/>
    </xf>
    <xf numFmtId="0" fontId="7" fillId="4" borderId="0" xfId="0" applyFont="1" applyFill="1" applyAlignment="1" applyProtection="1">
      <alignment horizontal="center"/>
      <protection hidden="1"/>
    </xf>
    <xf numFmtId="0" fontId="0" fillId="4" borderId="0" xfId="0" applyFill="1" applyProtection="1">
      <protection hidden="1"/>
    </xf>
    <xf numFmtId="0" fontId="0" fillId="4" borderId="13" xfId="0" applyFill="1" applyBorder="1" applyProtection="1">
      <protection hidden="1"/>
    </xf>
    <xf numFmtId="0" fontId="21" fillId="4" borderId="6" xfId="0" applyFont="1" applyFill="1" applyBorder="1" applyAlignment="1">
      <alignment horizontal="left" vertical="top"/>
    </xf>
    <xf numFmtId="164" fontId="6" fillId="4" borderId="0" xfId="0" applyNumberFormat="1" applyFont="1" applyFill="1" applyAlignment="1" applyProtection="1">
      <alignment horizontal="center"/>
      <protection hidden="1"/>
    </xf>
    <xf numFmtId="0" fontId="0" fillId="2" borderId="0" xfId="0" applyFill="1" applyAlignment="1" applyProtection="1">
      <alignment horizontal="right"/>
      <protection hidden="1"/>
    </xf>
    <xf numFmtId="0" fontId="11" fillId="2" borderId="0" xfId="0" applyFont="1" applyFill="1" applyAlignment="1" applyProtection="1">
      <alignment horizontal="center"/>
      <protection hidden="1"/>
    </xf>
    <xf numFmtId="0" fontId="11" fillId="2" borderId="0" xfId="0" applyFont="1" applyFill="1" applyAlignment="1" applyProtection="1">
      <alignment horizontal="right"/>
      <protection hidden="1"/>
    </xf>
    <xf numFmtId="164" fontId="22" fillId="2" borderId="0" xfId="0" applyNumberFormat="1" applyFont="1" applyFill="1" applyAlignment="1" applyProtection="1">
      <alignment horizontal="center"/>
      <protection hidden="1"/>
    </xf>
    <xf numFmtId="0" fontId="14" fillId="2" borderId="0" xfId="0" applyFont="1" applyFill="1" applyAlignment="1" applyProtection="1">
      <alignment horizontal="center"/>
      <protection hidden="1"/>
    </xf>
    <xf numFmtId="0" fontId="14" fillId="2" borderId="0" xfId="0" applyFont="1" applyFill="1" applyAlignment="1" applyProtection="1">
      <alignment horizontal="right"/>
      <protection hidden="1"/>
    </xf>
    <xf numFmtId="0" fontId="10" fillId="4" borderId="0" xfId="0" applyFont="1" applyFill="1" applyAlignment="1" applyProtection="1">
      <alignment horizontal="right"/>
      <protection hidden="1"/>
    </xf>
    <xf numFmtId="0" fontId="7" fillId="4" borderId="0" xfId="0" applyFont="1" applyFill="1" applyAlignment="1" applyProtection="1">
      <alignment horizontal="right"/>
      <protection hidden="1"/>
    </xf>
    <xf numFmtId="0" fontId="0" fillId="4" borderId="0" xfId="0" applyFill="1" applyAlignment="1" applyProtection="1">
      <alignment horizontal="right"/>
      <protection hidden="1"/>
    </xf>
    <xf numFmtId="0" fontId="0" fillId="0" borderId="0" xfId="0" applyAlignment="1">
      <alignment horizontal="left"/>
    </xf>
    <xf numFmtId="0" fontId="5" fillId="2" borderId="0" xfId="0" applyFont="1" applyFill="1" applyAlignment="1">
      <alignment horizontal="left" vertical="center"/>
    </xf>
    <xf numFmtId="0" fontId="6" fillId="4" borderId="7" xfId="0" applyFont="1" applyFill="1" applyBorder="1" applyAlignment="1" applyProtection="1">
      <alignment horizontal="center"/>
      <protection hidden="1"/>
    </xf>
    <xf numFmtId="0" fontId="17" fillId="2" borderId="0" xfId="0" applyFont="1" applyFill="1"/>
    <xf numFmtId="0" fontId="22" fillId="2" borderId="0" xfId="0" applyFont="1" applyFill="1" applyAlignment="1">
      <alignment vertical="top" wrapText="1"/>
    </xf>
    <xf numFmtId="0" fontId="22" fillId="2" borderId="0" xfId="0" applyFont="1" applyFill="1"/>
    <xf numFmtId="0" fontId="32" fillId="2" borderId="0" xfId="0" applyFont="1" applyFill="1" applyAlignment="1">
      <alignment vertical="center"/>
    </xf>
    <xf numFmtId="0" fontId="22" fillId="2" borderId="0" xfId="0" applyFont="1" applyFill="1" applyAlignment="1">
      <alignment vertical="top"/>
    </xf>
    <xf numFmtId="17" fontId="33" fillId="2" borderId="0" xfId="0" quotePrefix="1" applyNumberFormat="1" applyFont="1" applyFill="1" applyAlignment="1">
      <alignment horizontal="center" vertical="center"/>
    </xf>
    <xf numFmtId="0" fontId="35" fillId="2" borderId="0" xfId="0" applyFont="1" applyFill="1" applyAlignment="1">
      <alignment horizontal="right" vertical="center"/>
    </xf>
    <xf numFmtId="0" fontId="36" fillId="4" borderId="0" xfId="0" applyFont="1" applyFill="1" applyAlignment="1" applyProtection="1">
      <alignment horizontal="right"/>
      <protection hidden="1"/>
    </xf>
    <xf numFmtId="168" fontId="37" fillId="4" borderId="0" xfId="2" applyNumberFormat="1" applyFont="1" applyFill="1" applyBorder="1" applyAlignment="1" applyProtection="1">
      <alignment horizontal="center"/>
      <protection locked="0"/>
    </xf>
    <xf numFmtId="0" fontId="0" fillId="5" borderId="0" xfId="0" applyFill="1"/>
    <xf numFmtId="0" fontId="0" fillId="5" borderId="0" xfId="0" applyFill="1" applyAlignment="1">
      <alignment horizontal="right"/>
    </xf>
    <xf numFmtId="169" fontId="18" fillId="2" borderId="0" xfId="0" applyNumberFormat="1" applyFont="1" applyFill="1" applyProtection="1">
      <protection hidden="1"/>
    </xf>
    <xf numFmtId="0" fontId="38" fillId="3" borderId="6" xfId="3" applyFont="1" applyFill="1" applyBorder="1" applyAlignment="1">
      <alignment horizontal="center" vertical="center" wrapText="1"/>
    </xf>
    <xf numFmtId="0" fontId="38" fillId="3" borderId="7" xfId="3" applyFont="1" applyFill="1" applyBorder="1" applyAlignment="1">
      <alignment horizontal="center" vertical="center" wrapText="1"/>
    </xf>
    <xf numFmtId="0" fontId="38" fillId="3" borderId="8" xfId="3" applyFont="1" applyFill="1" applyBorder="1" applyAlignment="1">
      <alignment horizontal="center" vertical="center" wrapText="1"/>
    </xf>
    <xf numFmtId="0" fontId="38" fillId="3" borderId="9" xfId="3" applyFont="1" applyFill="1" applyBorder="1" applyAlignment="1">
      <alignment horizontal="center" vertical="center" wrapText="1"/>
    </xf>
    <xf numFmtId="0" fontId="38" fillId="3" borderId="0" xfId="3" applyFont="1" applyFill="1" applyBorder="1" applyAlignment="1">
      <alignment horizontal="center" vertical="center" wrapText="1"/>
    </xf>
    <xf numFmtId="0" fontId="38" fillId="3" borderId="10" xfId="3" applyFont="1" applyFill="1" applyBorder="1" applyAlignment="1">
      <alignment horizontal="center" vertical="center" wrapText="1"/>
    </xf>
    <xf numFmtId="0" fontId="38" fillId="3" borderId="11" xfId="3" applyFont="1" applyFill="1" applyBorder="1" applyAlignment="1">
      <alignment horizontal="center" vertical="center" wrapText="1"/>
    </xf>
    <xf numFmtId="0" fontId="38" fillId="3" borderId="12" xfId="3" applyFont="1" applyFill="1" applyBorder="1" applyAlignment="1">
      <alignment horizontal="center" vertical="center" wrapText="1"/>
    </xf>
    <xf numFmtId="0" fontId="38" fillId="3" borderId="13" xfId="3" applyFont="1" applyFill="1" applyBorder="1" applyAlignment="1">
      <alignment horizontal="center" vertical="center" wrapText="1"/>
    </xf>
    <xf numFmtId="0" fontId="22" fillId="2" borderId="0" xfId="0" applyFont="1" applyFill="1" applyAlignment="1">
      <alignment horizontal="left" vertical="top" wrapText="1"/>
    </xf>
    <xf numFmtId="0" fontId="26" fillId="2" borderId="0" xfId="0" applyFont="1" applyFill="1" applyAlignment="1">
      <alignment horizontal="center" vertical="center"/>
    </xf>
    <xf numFmtId="17" fontId="33" fillId="2" borderId="0" xfId="0" quotePrefix="1" applyNumberFormat="1" applyFont="1" applyFill="1" applyAlignment="1">
      <alignment horizontal="center" vertical="center"/>
    </xf>
    <xf numFmtId="0" fontId="17" fillId="2" borderId="0" xfId="0" applyFont="1" applyFill="1" applyAlignment="1">
      <alignment horizontal="left" vertical="top" wrapText="1"/>
    </xf>
    <xf numFmtId="0" fontId="28" fillId="2" borderId="7" xfId="3" applyFont="1" applyFill="1" applyBorder="1" applyAlignment="1" applyProtection="1">
      <alignment horizontal="left" vertical="center"/>
    </xf>
    <xf numFmtId="0" fontId="13" fillId="2" borderId="0" xfId="0" applyFont="1" applyFill="1" applyAlignment="1">
      <alignment horizontal="right"/>
    </xf>
    <xf numFmtId="0" fontId="7" fillId="4" borderId="3" xfId="0" applyFont="1" applyFill="1" applyBorder="1" applyAlignment="1" applyProtection="1">
      <alignment horizontal="right" vertical="center"/>
      <protection hidden="1"/>
    </xf>
    <xf numFmtId="0" fontId="7" fillId="4" borderId="4" xfId="0" applyFont="1" applyFill="1" applyBorder="1" applyAlignment="1" applyProtection="1">
      <alignment horizontal="right" vertical="center"/>
      <protection hidden="1"/>
    </xf>
    <xf numFmtId="0" fontId="7" fillId="4" borderId="0" xfId="0" applyFont="1" applyFill="1" applyAlignment="1" applyProtection="1">
      <alignment horizontal="center"/>
      <protection hidden="1"/>
    </xf>
    <xf numFmtId="0" fontId="7" fillId="4" borderId="6" xfId="0" applyFont="1" applyFill="1" applyBorder="1" applyAlignment="1" applyProtection="1">
      <alignment horizontal="center" vertical="center"/>
      <protection hidden="1"/>
    </xf>
    <xf numFmtId="0" fontId="7" fillId="4" borderId="7" xfId="0" applyFont="1" applyFill="1" applyBorder="1" applyAlignment="1" applyProtection="1">
      <alignment horizontal="center" vertical="center"/>
      <protection hidden="1"/>
    </xf>
    <xf numFmtId="0" fontId="7" fillId="4" borderId="8" xfId="0" applyFont="1" applyFill="1" applyBorder="1" applyAlignment="1" applyProtection="1">
      <alignment horizontal="center" vertical="center"/>
      <protection hidden="1"/>
    </xf>
    <xf numFmtId="0" fontId="2" fillId="0" borderId="1" xfId="0" applyFont="1" applyBorder="1" applyAlignment="1" applyProtection="1">
      <alignment horizontal="center" vertical="center"/>
      <protection locked="0"/>
    </xf>
    <xf numFmtId="9" fontId="2" fillId="3" borderId="1" xfId="0" applyNumberFormat="1" applyFont="1" applyFill="1" applyBorder="1" applyAlignment="1" applyProtection="1">
      <alignment horizontal="center" vertical="center"/>
      <protection locked="0"/>
    </xf>
    <xf numFmtId="3" fontId="34" fillId="2" borderId="0" xfId="0" applyNumberFormat="1" applyFont="1" applyFill="1" applyAlignment="1" applyProtection="1">
      <alignment horizontal="center"/>
      <protection locked="0"/>
    </xf>
    <xf numFmtId="0" fontId="5" fillId="2" borderId="0" xfId="0" applyFont="1" applyFill="1" applyAlignment="1">
      <alignment horizontal="right" vertical="center"/>
    </xf>
    <xf numFmtId="0" fontId="2" fillId="3" borderId="6" xfId="3" applyFont="1" applyFill="1" applyBorder="1" applyAlignment="1" applyProtection="1">
      <alignment horizontal="center" vertical="center" wrapText="1"/>
      <protection hidden="1"/>
    </xf>
    <xf numFmtId="0" fontId="2" fillId="3" borderId="8" xfId="3" applyFont="1" applyFill="1" applyBorder="1" applyAlignment="1" applyProtection="1">
      <alignment horizontal="center" vertical="center" wrapText="1"/>
      <protection hidden="1"/>
    </xf>
    <xf numFmtId="0" fontId="2" fillId="3" borderId="9" xfId="3" applyFont="1" applyFill="1" applyBorder="1" applyAlignment="1" applyProtection="1">
      <alignment horizontal="center" vertical="center" wrapText="1"/>
      <protection hidden="1"/>
    </xf>
    <xf numFmtId="0" fontId="2" fillId="3" borderId="10" xfId="3" applyFont="1" applyFill="1" applyBorder="1" applyAlignment="1" applyProtection="1">
      <alignment horizontal="center" vertical="center" wrapText="1"/>
      <protection hidden="1"/>
    </xf>
    <xf numFmtId="0" fontId="2" fillId="3" borderId="11" xfId="3" applyFont="1" applyFill="1" applyBorder="1" applyAlignment="1" applyProtection="1">
      <alignment horizontal="center" vertical="center" wrapText="1"/>
      <protection hidden="1"/>
    </xf>
    <xf numFmtId="0" fontId="2" fillId="3" borderId="13" xfId="3" applyFont="1" applyFill="1" applyBorder="1" applyAlignment="1" applyProtection="1">
      <alignment horizontal="center" vertical="center" wrapText="1"/>
      <protection hidden="1"/>
    </xf>
    <xf numFmtId="0" fontId="2" fillId="0" borderId="0" xfId="0" applyFont="1" applyAlignment="1" applyProtection="1">
      <alignment horizontal="center" vertical="center"/>
      <protection locked="0"/>
    </xf>
    <xf numFmtId="0" fontId="28" fillId="2" borderId="7" xfId="3" applyFont="1" applyFill="1" applyBorder="1" applyAlignment="1" applyProtection="1">
      <alignment horizontal="left"/>
    </xf>
  </cellXfs>
  <cellStyles count="4">
    <cellStyle name="Comma" xfId="1" builtinId="3"/>
    <cellStyle name="Hyperlink" xfId="3" builtinId="8"/>
    <cellStyle name="Normal" xfId="0" builtinId="0"/>
    <cellStyle name="Percent" xfId="2" builtinId="5"/>
  </cellStyles>
  <dxfs count="28">
    <dxf>
      <font>
        <b/>
        <i/>
        <color theme="1"/>
      </font>
      <fill>
        <patternFill>
          <bgColor theme="0"/>
        </patternFill>
      </fill>
      <border>
        <left style="thin">
          <color auto="1"/>
        </left>
        <right style="thin">
          <color auto="1"/>
        </right>
        <top style="thin">
          <color auto="1"/>
        </top>
        <bottom style="thin">
          <color auto="1"/>
        </bottom>
        <vertical/>
        <horizontal/>
      </border>
    </dxf>
    <dxf>
      <font>
        <b/>
        <i val="0"/>
        <color theme="1"/>
      </font>
      <fill>
        <patternFill>
          <bgColor theme="0"/>
        </patternFill>
      </fill>
      <border>
        <left style="thin">
          <color auto="1"/>
        </left>
        <right style="thin">
          <color auto="1"/>
        </right>
        <top style="thin">
          <color auto="1"/>
        </top>
        <bottom style="thin">
          <color auto="1"/>
        </bottom>
        <vertical/>
        <horizontal/>
      </border>
    </dxf>
    <dxf>
      <font>
        <b/>
        <i val="0"/>
        <color theme="1"/>
      </font>
      <fill>
        <patternFill>
          <bgColor theme="0"/>
        </patternFill>
      </fill>
      <border>
        <left style="thin">
          <color auto="1"/>
        </left>
        <right style="thin">
          <color auto="1"/>
        </right>
        <top style="thin">
          <color auto="1"/>
        </top>
        <bottom style="thin">
          <color auto="1"/>
        </bottom>
      </border>
    </dxf>
    <dxf>
      <font>
        <b/>
        <i val="0"/>
        <color theme="1"/>
      </font>
      <fill>
        <patternFill>
          <bgColor theme="0"/>
        </patternFill>
      </fill>
      <border>
        <left style="thin">
          <color auto="1"/>
        </left>
        <right style="thin">
          <color auto="1"/>
        </right>
        <top style="thin">
          <color auto="1"/>
        </top>
        <bottom style="thin">
          <color auto="1"/>
        </bottom>
      </border>
    </dxf>
    <dxf>
      <font>
        <color rgb="FFFF0000"/>
      </font>
    </dxf>
    <dxf>
      <font>
        <color rgb="FFFF0000"/>
      </font>
    </dxf>
    <dxf>
      <font>
        <b/>
        <i/>
        <color theme="1"/>
      </font>
    </dxf>
    <dxf>
      <font>
        <b/>
        <i/>
        <color theme="1"/>
      </font>
    </dxf>
    <dxf>
      <font>
        <b/>
        <i/>
        <color theme="1"/>
      </font>
    </dxf>
    <dxf>
      <font>
        <b/>
        <i/>
        <color theme="1"/>
      </font>
    </dxf>
    <dxf>
      <font>
        <b/>
        <i val="0"/>
        <color theme="1"/>
      </font>
      <fill>
        <patternFill>
          <bgColor theme="0"/>
        </patternFill>
      </fill>
    </dxf>
    <dxf>
      <font>
        <b/>
        <i val="0"/>
        <color theme="1"/>
      </font>
      <fill>
        <patternFill>
          <bgColor theme="0"/>
        </patternFill>
      </fill>
    </dxf>
    <dxf>
      <font>
        <color rgb="FFFF0000"/>
      </font>
    </dxf>
    <dxf>
      <font>
        <color rgb="FFFF0000"/>
      </font>
    </dxf>
    <dxf>
      <font>
        <color rgb="FFFF0000"/>
      </font>
    </dxf>
    <dxf>
      <font>
        <b/>
        <i/>
        <color theme="0"/>
      </font>
      <fill>
        <patternFill>
          <bgColor rgb="FF003470"/>
        </patternFill>
      </fill>
    </dxf>
    <dxf>
      <font>
        <b/>
        <i/>
        <color theme="0"/>
      </font>
      <fill>
        <patternFill>
          <bgColor rgb="FF003470"/>
        </patternFill>
      </fill>
    </dxf>
    <dxf>
      <font>
        <b/>
        <i val="0"/>
        <color theme="1"/>
      </font>
      <fill>
        <patternFill>
          <bgColor theme="0"/>
        </patternFill>
      </fill>
      <border>
        <left style="thin">
          <color auto="1"/>
        </left>
        <right style="thin">
          <color auto="1"/>
        </right>
        <top style="thin">
          <color auto="1"/>
        </top>
        <bottom style="thin">
          <color auto="1"/>
        </bottom>
        <vertical/>
        <horizontal/>
      </border>
    </dxf>
    <dxf>
      <font>
        <b/>
        <i val="0"/>
        <color theme="1"/>
      </font>
      <fill>
        <patternFill>
          <bgColor theme="0"/>
        </patternFill>
      </fill>
      <border>
        <left style="thin">
          <color auto="1"/>
        </left>
        <right style="thin">
          <color auto="1"/>
        </right>
        <top style="thin">
          <color auto="1"/>
        </top>
        <bottom style="thin">
          <color auto="1"/>
        </bottom>
      </border>
    </dxf>
    <dxf>
      <font>
        <color rgb="FFFF0000"/>
      </font>
    </dxf>
    <dxf>
      <font>
        <color rgb="FFFF0000"/>
      </font>
    </dxf>
    <dxf>
      <font>
        <b/>
        <i/>
        <color theme="1"/>
      </font>
    </dxf>
    <dxf>
      <font>
        <b/>
        <i/>
        <color theme="1"/>
      </font>
    </dxf>
    <dxf>
      <font>
        <b/>
        <i val="0"/>
        <color theme="1"/>
      </font>
      <fill>
        <patternFill>
          <bgColor theme="0"/>
        </patternFill>
      </fill>
    </dxf>
    <dxf>
      <font>
        <color rgb="FFFF0000"/>
      </font>
    </dxf>
    <dxf>
      <font>
        <color rgb="FFFF0000"/>
      </font>
    </dxf>
    <dxf>
      <font>
        <color rgb="FFFF0000"/>
      </font>
    </dxf>
    <dxf>
      <font>
        <b/>
        <i/>
        <color theme="0"/>
      </font>
    </dxf>
  </dxfs>
  <tableStyles count="0" defaultTableStyle="TableStyleMedium2" defaultPivotStyle="PivotStyleLight16"/>
  <colors>
    <mruColors>
      <color rgb="FF9BC2E6"/>
      <color rgb="FF003470"/>
      <color rgb="FF833C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crfb.org/"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crfb.org/" TargetMode="External"/><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crfb.org/" TargetMode="External"/></Relationships>
</file>

<file path=xl/drawings/drawing1.xml><?xml version="1.0" encoding="utf-8"?>
<xdr:wsDr xmlns:xdr="http://schemas.openxmlformats.org/drawingml/2006/spreadsheetDrawing" xmlns:a="http://schemas.openxmlformats.org/drawingml/2006/main">
  <xdr:twoCellAnchor editAs="oneCell">
    <xdr:from>
      <xdr:col>6</xdr:col>
      <xdr:colOff>114300</xdr:colOff>
      <xdr:row>0</xdr:row>
      <xdr:rowOff>0</xdr:rowOff>
    </xdr:from>
    <xdr:to>
      <xdr:col>10</xdr:col>
      <xdr:colOff>398145</xdr:colOff>
      <xdr:row>2</xdr:row>
      <xdr:rowOff>164386</xdr:rowOff>
    </xdr:to>
    <xdr:pic>
      <xdr:nvPicPr>
        <xdr:cNvPr id="2" name="Picture 1">
          <a:hlinkClick xmlns:r="http://schemas.openxmlformats.org/officeDocument/2006/relationships" r:id="rId1"/>
          <a:extLst>
            <a:ext uri="{FF2B5EF4-FFF2-40B4-BE49-F238E27FC236}">
              <a16:creationId xmlns:a16="http://schemas.microsoft.com/office/drawing/2014/main" id="{78993590-52A7-4FB5-B5B5-9E03002C1F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57600" y="0"/>
          <a:ext cx="2646045" cy="5453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19050</xdr:colOff>
      <xdr:row>21</xdr:row>
      <xdr:rowOff>13115</xdr:rowOff>
    </xdr:from>
    <xdr:ext cx="297771" cy="196435"/>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1238250" y="3937415"/>
          <a:ext cx="297771" cy="196435"/>
        </a:xfrm>
        <a:prstGeom prst="rect">
          <a:avLst/>
        </a:prstGeom>
      </xdr:spPr>
    </xdr:pic>
    <xdr:clientData/>
  </xdr:oneCellAnchor>
  <xdr:twoCellAnchor editAs="oneCell">
    <xdr:from>
      <xdr:col>0</xdr:col>
      <xdr:colOff>0</xdr:colOff>
      <xdr:row>0</xdr:row>
      <xdr:rowOff>0</xdr:rowOff>
    </xdr:from>
    <xdr:to>
      <xdr:col>8</xdr:col>
      <xdr:colOff>287655</xdr:colOff>
      <xdr:row>2</xdr:row>
      <xdr:rowOff>135811</xdr:rowOff>
    </xdr:to>
    <xdr:pic>
      <xdr:nvPicPr>
        <xdr:cNvPr id="2" name="Picture 1">
          <a:hlinkClick xmlns:r="http://schemas.openxmlformats.org/officeDocument/2006/relationships" r:id="rId2"/>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722245" cy="543481"/>
        </a:xfrm>
        <a:prstGeom prst="rect">
          <a:avLst/>
        </a:prstGeom>
      </xdr:spPr>
    </xdr:pic>
    <xdr:clientData/>
  </xdr:twoCellAnchor>
  <xdr:oneCellAnchor>
    <xdr:from>
      <xdr:col>7</xdr:col>
      <xdr:colOff>257175</xdr:colOff>
      <xdr:row>23</xdr:row>
      <xdr:rowOff>226695</xdr:rowOff>
    </xdr:from>
    <xdr:ext cx="297771" cy="196435"/>
    <xdr:pic>
      <xdr:nvPicPr>
        <xdr:cNvPr id="3" name="Picture 2">
          <a:extLst>
            <a:ext uri="{FF2B5EF4-FFF2-40B4-BE49-F238E27FC236}">
              <a16:creationId xmlns:a16="http://schemas.microsoft.com/office/drawing/2014/main" id="{6EEEE667-0066-4E61-9357-C4438C769C9B}"/>
            </a:ext>
          </a:extLst>
        </xdr:cNvPr>
        <xdr:cNvPicPr>
          <a:picLocks noChangeAspect="1"/>
        </xdr:cNvPicPr>
      </xdr:nvPicPr>
      <xdr:blipFill>
        <a:blip xmlns:r="http://schemas.openxmlformats.org/officeDocument/2006/relationships" r:embed="rId1"/>
        <a:stretch>
          <a:fillRect/>
        </a:stretch>
      </xdr:blipFill>
      <xdr:spPr>
        <a:xfrm>
          <a:off x="2028825" y="4665345"/>
          <a:ext cx="297771" cy="19643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283845</xdr:colOff>
      <xdr:row>2</xdr:row>
      <xdr:rowOff>132001</xdr:rowOff>
    </xdr:to>
    <xdr:pic>
      <xdr:nvPicPr>
        <xdr:cNvPr id="3" name="Picture 2">
          <a:hlinkClick xmlns:r="http://schemas.openxmlformats.org/officeDocument/2006/relationships" r:id="rId1"/>
          <a:extLst>
            <a:ext uri="{FF2B5EF4-FFF2-40B4-BE49-F238E27FC236}">
              <a16:creationId xmlns:a16="http://schemas.microsoft.com/office/drawing/2014/main" id="{6FB5EE53-3476-4DEA-BB41-04084A4470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722245" cy="543481"/>
        </a:xfrm>
        <a:prstGeom prst="rect">
          <a:avLst/>
        </a:prstGeom>
      </xdr:spPr>
    </xdr:pic>
    <xdr:clientData/>
  </xdr:twoCellAnchor>
  <xdr:oneCellAnchor>
    <xdr:from>
      <xdr:col>6</xdr:col>
      <xdr:colOff>9525</xdr:colOff>
      <xdr:row>31</xdr:row>
      <xdr:rowOff>19050</xdr:rowOff>
    </xdr:from>
    <xdr:ext cx="297771" cy="196435"/>
    <xdr:pic>
      <xdr:nvPicPr>
        <xdr:cNvPr id="2" name="Picture 1">
          <a:extLst>
            <a:ext uri="{FF2B5EF4-FFF2-40B4-BE49-F238E27FC236}">
              <a16:creationId xmlns:a16="http://schemas.microsoft.com/office/drawing/2014/main" id="{7619D798-CABA-4E5F-80A8-2D3426398272}"/>
            </a:ext>
          </a:extLst>
        </xdr:cNvPr>
        <xdr:cNvPicPr>
          <a:picLocks noChangeAspect="1"/>
        </xdr:cNvPicPr>
      </xdr:nvPicPr>
      <xdr:blipFill>
        <a:blip xmlns:r="http://schemas.openxmlformats.org/officeDocument/2006/relationships" r:embed="rId3"/>
        <a:stretch>
          <a:fillRect/>
        </a:stretch>
      </xdr:blipFill>
      <xdr:spPr>
        <a:xfrm>
          <a:off x="1228725" y="5572125"/>
          <a:ext cx="297771" cy="196435"/>
        </a:xfrm>
        <a:prstGeom prst="rect">
          <a:avLst/>
        </a:prstGeom>
      </xdr:spPr>
    </xdr:pic>
    <xdr:clientData/>
  </xdr:oneCellAnchor>
  <xdr:oneCellAnchor>
    <xdr:from>
      <xdr:col>7</xdr:col>
      <xdr:colOff>276225</xdr:colOff>
      <xdr:row>33</xdr:row>
      <xdr:rowOff>219075</xdr:rowOff>
    </xdr:from>
    <xdr:ext cx="297771" cy="196435"/>
    <xdr:pic>
      <xdr:nvPicPr>
        <xdr:cNvPr id="5" name="Picture 4">
          <a:extLst>
            <a:ext uri="{FF2B5EF4-FFF2-40B4-BE49-F238E27FC236}">
              <a16:creationId xmlns:a16="http://schemas.microsoft.com/office/drawing/2014/main" id="{A5F6BF19-CC69-4337-8602-D6DAFAEC06F7}"/>
            </a:ext>
          </a:extLst>
        </xdr:cNvPr>
        <xdr:cNvPicPr>
          <a:picLocks noChangeAspect="1"/>
        </xdr:cNvPicPr>
      </xdr:nvPicPr>
      <xdr:blipFill>
        <a:blip xmlns:r="http://schemas.openxmlformats.org/officeDocument/2006/relationships" r:embed="rId3"/>
        <a:stretch>
          <a:fillRect/>
        </a:stretch>
      </xdr:blipFill>
      <xdr:spPr>
        <a:xfrm>
          <a:off x="2047875" y="6343650"/>
          <a:ext cx="297771" cy="19643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20trillion%20over%20a%20decade.%20What%20about%20yours?%20%23BYOBudget%20@BudgetHawks" TargetMode="External"/><Relationship Id="rId2" Type="http://schemas.openxmlformats.org/officeDocument/2006/relationships/hyperlink" Target="https://www.crfb.org/contact" TargetMode="External"/><Relationship Id="rId1" Type="http://schemas.openxmlformats.org/officeDocument/2006/relationships/hyperlink" Target="https://twitter.com/intent/tweet?text=My%20discretionary%20spending%20plan%20saves%20$" TargetMode="External"/><Relationship Id="rId5" Type="http://schemas.openxmlformats.org/officeDocument/2006/relationships/drawing" Target="../drawings/drawing2.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mailto:%20trillion%20over%20a%20decade.%20What%20about%20yours?%20%23BYOBudget%20@BudgetHawks" TargetMode="External"/><Relationship Id="rId2" Type="http://schemas.openxmlformats.org/officeDocument/2006/relationships/hyperlink" Target="https://www.crfb.org/contact" TargetMode="External"/><Relationship Id="rId1" Type="http://schemas.openxmlformats.org/officeDocument/2006/relationships/hyperlink" Target="https://twitter.com/intent/tweet?text=My%20discretionary%20spending%20plan%20saves%20$"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DEFDA-AB2D-48E9-9B39-F0B0A700135D}">
  <sheetPr codeName="Sheet3"/>
  <dimension ref="A1:Q48"/>
  <sheetViews>
    <sheetView showGridLines="0" showRowColHeaders="0" tabSelected="1" workbookViewId="0"/>
  </sheetViews>
  <sheetFormatPr defaultColWidth="0" defaultRowHeight="14.4" zeroHeight="1"/>
  <cols>
    <col min="1" max="17" width="8.88671875" customWidth="1"/>
    <col min="18" max="16384" width="8.88671875" hidden="1"/>
  </cols>
  <sheetData>
    <row r="1" spans="1:17">
      <c r="A1" s="1"/>
      <c r="B1" s="1"/>
      <c r="C1" s="1"/>
      <c r="D1" s="1"/>
      <c r="E1" s="1"/>
      <c r="F1" s="1"/>
      <c r="G1" s="1"/>
      <c r="H1" s="1"/>
      <c r="I1" s="1"/>
      <c r="J1" s="1"/>
      <c r="K1" s="1"/>
      <c r="L1" s="1"/>
      <c r="M1" s="1"/>
      <c r="N1" s="1"/>
      <c r="O1" s="1"/>
      <c r="P1" s="1"/>
      <c r="Q1" s="1"/>
    </row>
    <row r="2" spans="1:17">
      <c r="A2" s="1"/>
      <c r="B2" s="1"/>
      <c r="C2" s="1"/>
      <c r="D2" s="1"/>
      <c r="E2" s="1"/>
      <c r="F2" s="1"/>
      <c r="G2" s="1"/>
      <c r="H2" s="1"/>
      <c r="I2" s="1"/>
      <c r="J2" s="1"/>
      <c r="K2" s="1"/>
      <c r="L2" s="1"/>
      <c r="M2" s="1"/>
      <c r="N2" s="1"/>
      <c r="O2" s="1"/>
      <c r="P2" s="1"/>
      <c r="Q2" s="1"/>
    </row>
    <row r="3" spans="1:17">
      <c r="A3" s="1"/>
      <c r="B3" s="1"/>
      <c r="C3" s="1"/>
      <c r="D3" s="1"/>
      <c r="E3" s="1"/>
      <c r="F3" s="1"/>
      <c r="G3" s="1"/>
      <c r="H3" s="1"/>
      <c r="I3" s="1"/>
      <c r="J3" s="1"/>
      <c r="K3" s="1"/>
      <c r="L3" s="1"/>
      <c r="M3" s="1"/>
      <c r="N3" s="1"/>
      <c r="O3" s="1"/>
      <c r="P3" s="1"/>
      <c r="Q3" s="1"/>
    </row>
    <row r="4" spans="1:17" ht="22.2" customHeight="1">
      <c r="A4" s="114" t="s">
        <v>59</v>
      </c>
      <c r="B4" s="114"/>
      <c r="C4" s="114"/>
      <c r="D4" s="114"/>
      <c r="E4" s="114"/>
      <c r="F4" s="114"/>
      <c r="G4" s="114"/>
      <c r="H4" s="114"/>
      <c r="I4" s="114"/>
      <c r="J4" s="114"/>
      <c r="K4" s="114"/>
      <c r="L4" s="114"/>
      <c r="M4" s="114"/>
      <c r="N4" s="114"/>
      <c r="O4" s="114"/>
      <c r="P4" s="114"/>
      <c r="Q4" s="114"/>
    </row>
    <row r="5" spans="1:17" ht="23.4" customHeight="1">
      <c r="A5" s="115" t="s">
        <v>127</v>
      </c>
      <c r="B5" s="115"/>
      <c r="C5" s="115"/>
      <c r="D5" s="115"/>
      <c r="E5" s="115"/>
      <c r="F5" s="115"/>
      <c r="G5" s="115"/>
      <c r="H5" s="115"/>
      <c r="I5" s="115"/>
      <c r="J5" s="115"/>
      <c r="K5" s="115"/>
      <c r="L5" s="115"/>
      <c r="M5" s="115"/>
      <c r="N5" s="115"/>
      <c r="O5" s="115"/>
      <c r="P5" s="115"/>
      <c r="Q5" s="115"/>
    </row>
    <row r="6" spans="1:17" ht="23.4" customHeight="1">
      <c r="A6" s="1"/>
      <c r="B6" s="92"/>
      <c r="C6" s="92"/>
      <c r="D6" s="92"/>
      <c r="E6" s="97"/>
      <c r="F6" s="97"/>
      <c r="G6" s="97"/>
      <c r="H6" s="97"/>
      <c r="I6" s="97"/>
      <c r="J6" s="97"/>
      <c r="K6" s="97"/>
      <c r="L6" s="97"/>
      <c r="M6" s="97"/>
      <c r="N6" s="97"/>
      <c r="O6" s="97"/>
      <c r="P6" s="97"/>
      <c r="Q6" s="97"/>
    </row>
    <row r="7" spans="1:17" ht="15.9" customHeight="1">
      <c r="A7" s="1"/>
      <c r="B7" s="113" t="s">
        <v>81</v>
      </c>
      <c r="C7" s="113"/>
      <c r="D7" s="113"/>
      <c r="E7" s="113"/>
      <c r="F7" s="113"/>
      <c r="G7" s="113"/>
      <c r="H7" s="113"/>
      <c r="I7" s="113"/>
      <c r="J7" s="113"/>
      <c r="K7" s="113"/>
      <c r="L7" s="113"/>
      <c r="M7" s="113"/>
      <c r="N7" s="113"/>
      <c r="O7" s="113"/>
      <c r="P7" s="113"/>
      <c r="Q7" s="92"/>
    </row>
    <row r="8" spans="1:17" ht="15.9" customHeight="1">
      <c r="A8" s="1"/>
      <c r="B8" s="113"/>
      <c r="C8" s="113"/>
      <c r="D8" s="113"/>
      <c r="E8" s="113"/>
      <c r="F8" s="113"/>
      <c r="G8" s="113"/>
      <c r="H8" s="113"/>
      <c r="I8" s="113"/>
      <c r="J8" s="113"/>
      <c r="K8" s="113"/>
      <c r="L8" s="113"/>
      <c r="M8" s="113"/>
      <c r="N8" s="113"/>
      <c r="O8" s="113"/>
      <c r="P8" s="113"/>
      <c r="Q8" s="92"/>
    </row>
    <row r="9" spans="1:17" ht="15.9" customHeight="1">
      <c r="A9" s="1"/>
      <c r="B9" s="113"/>
      <c r="C9" s="113"/>
      <c r="D9" s="113"/>
      <c r="E9" s="113"/>
      <c r="F9" s="113"/>
      <c r="G9" s="113"/>
      <c r="H9" s="113"/>
      <c r="I9" s="113"/>
      <c r="J9" s="113"/>
      <c r="K9" s="113"/>
      <c r="L9" s="113"/>
      <c r="M9" s="113"/>
      <c r="N9" s="113"/>
      <c r="O9" s="113"/>
      <c r="P9" s="113"/>
      <c r="Q9" s="92"/>
    </row>
    <row r="10" spans="1:17" ht="15.9" customHeight="1">
      <c r="A10" s="1"/>
      <c r="B10" s="113"/>
      <c r="C10" s="113"/>
      <c r="D10" s="113"/>
      <c r="E10" s="113"/>
      <c r="F10" s="113"/>
      <c r="G10" s="113"/>
      <c r="H10" s="113"/>
      <c r="I10" s="113"/>
      <c r="J10" s="113"/>
      <c r="K10" s="113"/>
      <c r="L10" s="113"/>
      <c r="M10" s="113"/>
      <c r="N10" s="113"/>
      <c r="O10" s="113"/>
      <c r="P10" s="113"/>
      <c r="Q10" s="92"/>
    </row>
    <row r="11" spans="1:17" ht="15.9" customHeight="1">
      <c r="A11" s="1"/>
      <c r="B11" s="113"/>
      <c r="C11" s="113"/>
      <c r="D11" s="113"/>
      <c r="E11" s="113"/>
      <c r="F11" s="113"/>
      <c r="G11" s="113"/>
      <c r="H11" s="113"/>
      <c r="I11" s="113"/>
      <c r="J11" s="113"/>
      <c r="K11" s="113"/>
      <c r="L11" s="113"/>
      <c r="M11" s="113"/>
      <c r="N11" s="113"/>
      <c r="O11" s="113"/>
      <c r="P11" s="113"/>
      <c r="Q11" s="92"/>
    </row>
    <row r="12" spans="1:17" ht="15.9" customHeight="1">
      <c r="A12" s="1"/>
      <c r="B12" s="113" t="s">
        <v>114</v>
      </c>
      <c r="C12" s="113"/>
      <c r="D12" s="113"/>
      <c r="E12" s="113"/>
      <c r="F12" s="113"/>
      <c r="G12" s="113"/>
      <c r="H12" s="113"/>
      <c r="I12" s="113"/>
      <c r="J12" s="113"/>
      <c r="K12" s="113"/>
      <c r="L12" s="113"/>
      <c r="M12" s="113"/>
      <c r="N12" s="113"/>
      <c r="O12" s="113"/>
      <c r="P12" s="113"/>
      <c r="Q12" s="92"/>
    </row>
    <row r="13" spans="1:17" ht="15.9" customHeight="1">
      <c r="A13" s="1"/>
      <c r="B13" s="113"/>
      <c r="C13" s="113"/>
      <c r="D13" s="113"/>
      <c r="E13" s="113"/>
      <c r="F13" s="113"/>
      <c r="G13" s="113"/>
      <c r="H13" s="113"/>
      <c r="I13" s="113"/>
      <c r="J13" s="113"/>
      <c r="K13" s="113"/>
      <c r="L13" s="113"/>
      <c r="M13" s="113"/>
      <c r="N13" s="113"/>
      <c r="O13" s="113"/>
      <c r="P13" s="113"/>
      <c r="Q13" s="92"/>
    </row>
    <row r="14" spans="1:17" ht="15.9" customHeight="1">
      <c r="A14" s="1"/>
      <c r="B14" s="113"/>
      <c r="C14" s="113"/>
      <c r="D14" s="113"/>
      <c r="E14" s="113"/>
      <c r="F14" s="113"/>
      <c r="G14" s="113"/>
      <c r="H14" s="113"/>
      <c r="I14" s="113"/>
      <c r="J14" s="113"/>
      <c r="K14" s="113"/>
      <c r="L14" s="113"/>
      <c r="M14" s="113"/>
      <c r="N14" s="113"/>
      <c r="O14" s="113"/>
      <c r="P14" s="113"/>
      <c r="Q14" s="92"/>
    </row>
    <row r="15" spans="1:17" ht="15.9" customHeight="1" thickBot="1">
      <c r="A15" s="1"/>
      <c r="B15" s="113"/>
      <c r="C15" s="113"/>
      <c r="D15" s="113"/>
      <c r="E15" s="113"/>
      <c r="F15" s="113"/>
      <c r="G15" s="113"/>
      <c r="H15" s="113"/>
      <c r="I15" s="113"/>
      <c r="J15" s="113"/>
      <c r="K15" s="113"/>
      <c r="L15" s="113"/>
      <c r="M15" s="113"/>
      <c r="N15" s="113"/>
      <c r="O15" s="113"/>
      <c r="P15" s="113"/>
      <c r="Q15" s="92"/>
    </row>
    <row r="16" spans="1:17" ht="15.9" customHeight="1">
      <c r="A16" s="1"/>
      <c r="B16" s="93"/>
      <c r="C16" s="104" t="s">
        <v>76</v>
      </c>
      <c r="D16" s="105"/>
      <c r="E16" s="105"/>
      <c r="F16" s="105"/>
      <c r="G16" s="105"/>
      <c r="H16" s="106"/>
      <c r="I16" s="93"/>
      <c r="J16" s="104" t="s">
        <v>77</v>
      </c>
      <c r="K16" s="105"/>
      <c r="L16" s="105"/>
      <c r="M16" s="105"/>
      <c r="N16" s="105"/>
      <c r="O16" s="106"/>
      <c r="P16" s="93"/>
      <c r="Q16" s="92"/>
    </row>
    <row r="17" spans="1:17" ht="15.9" customHeight="1">
      <c r="A17" s="1"/>
      <c r="B17" s="93"/>
      <c r="C17" s="107"/>
      <c r="D17" s="108"/>
      <c r="E17" s="108"/>
      <c r="F17" s="108"/>
      <c r="G17" s="108"/>
      <c r="H17" s="109"/>
      <c r="I17" s="93"/>
      <c r="J17" s="107"/>
      <c r="K17" s="108"/>
      <c r="L17" s="108"/>
      <c r="M17" s="108"/>
      <c r="N17" s="108"/>
      <c r="O17" s="109"/>
      <c r="P17" s="93"/>
      <c r="Q17" s="92"/>
    </row>
    <row r="18" spans="1:17" ht="15.9" customHeight="1" thickBot="1">
      <c r="A18" s="1"/>
      <c r="B18" s="93"/>
      <c r="C18" s="110"/>
      <c r="D18" s="111"/>
      <c r="E18" s="111"/>
      <c r="F18" s="111"/>
      <c r="G18" s="111"/>
      <c r="H18" s="112"/>
      <c r="I18" s="93"/>
      <c r="J18" s="110"/>
      <c r="K18" s="111"/>
      <c r="L18" s="111"/>
      <c r="M18" s="111"/>
      <c r="N18" s="111"/>
      <c r="O18" s="112"/>
      <c r="P18" s="93"/>
      <c r="Q18" s="92"/>
    </row>
    <row r="19" spans="1:17" ht="15.9" customHeight="1">
      <c r="A19" s="1"/>
      <c r="B19" s="93"/>
      <c r="C19" s="93"/>
      <c r="D19" s="93"/>
      <c r="E19" s="93"/>
      <c r="F19" s="93"/>
      <c r="G19" s="93"/>
      <c r="H19" s="93"/>
      <c r="I19" s="93"/>
      <c r="J19" s="93"/>
      <c r="K19" s="93"/>
      <c r="L19" s="93"/>
      <c r="M19" s="93"/>
      <c r="N19" s="93"/>
      <c r="O19" s="93"/>
      <c r="P19" s="93"/>
      <c r="Q19" s="92"/>
    </row>
    <row r="20" spans="1:17" ht="15.9" customHeight="1">
      <c r="A20" s="1"/>
      <c r="B20" s="113" t="s">
        <v>82</v>
      </c>
      <c r="C20" s="113"/>
      <c r="D20" s="113"/>
      <c r="E20" s="113"/>
      <c r="F20" s="113"/>
      <c r="G20" s="113"/>
      <c r="H20" s="113"/>
      <c r="I20" s="113"/>
      <c r="J20" s="113"/>
      <c r="K20" s="113"/>
      <c r="L20" s="113"/>
      <c r="M20" s="113"/>
      <c r="N20" s="113"/>
      <c r="O20" s="113"/>
      <c r="P20" s="113"/>
      <c r="Q20" s="92"/>
    </row>
    <row r="21" spans="1:17" ht="15.9" customHeight="1">
      <c r="A21" s="1"/>
      <c r="B21" s="113"/>
      <c r="C21" s="113"/>
      <c r="D21" s="113"/>
      <c r="E21" s="113"/>
      <c r="F21" s="113"/>
      <c r="G21" s="113"/>
      <c r="H21" s="113"/>
      <c r="I21" s="113"/>
      <c r="J21" s="113"/>
      <c r="K21" s="113"/>
      <c r="L21" s="113"/>
      <c r="M21" s="113"/>
      <c r="N21" s="113"/>
      <c r="O21" s="113"/>
      <c r="P21" s="113"/>
      <c r="Q21" s="92"/>
    </row>
    <row r="22" spans="1:17" ht="15.9" customHeight="1">
      <c r="A22" s="1"/>
      <c r="B22" s="113"/>
      <c r="C22" s="113"/>
      <c r="D22" s="113"/>
      <c r="E22" s="113"/>
      <c r="F22" s="113"/>
      <c r="G22" s="113"/>
      <c r="H22" s="113"/>
      <c r="I22" s="113"/>
      <c r="J22" s="113"/>
      <c r="K22" s="113"/>
      <c r="L22" s="113"/>
      <c r="M22" s="113"/>
      <c r="N22" s="113"/>
      <c r="O22" s="113"/>
      <c r="P22" s="113"/>
      <c r="Q22" s="92"/>
    </row>
    <row r="23" spans="1:17" ht="15.9" customHeight="1">
      <c r="A23" s="1"/>
      <c r="B23" s="113"/>
      <c r="C23" s="113"/>
      <c r="D23" s="113"/>
      <c r="E23" s="113"/>
      <c r="F23" s="113"/>
      <c r="G23" s="113"/>
      <c r="H23" s="113"/>
      <c r="I23" s="113"/>
      <c r="J23" s="113"/>
      <c r="K23" s="113"/>
      <c r="L23" s="113"/>
      <c r="M23" s="113"/>
      <c r="N23" s="113"/>
      <c r="O23" s="113"/>
      <c r="P23" s="113"/>
      <c r="Q23" s="92"/>
    </row>
    <row r="24" spans="1:17" ht="15.9" customHeight="1">
      <c r="A24" s="1"/>
      <c r="B24" s="113"/>
      <c r="C24" s="113"/>
      <c r="D24" s="113"/>
      <c r="E24" s="113"/>
      <c r="F24" s="113"/>
      <c r="G24" s="113"/>
      <c r="H24" s="113"/>
      <c r="I24" s="113"/>
      <c r="J24" s="113"/>
      <c r="K24" s="113"/>
      <c r="L24" s="113"/>
      <c r="M24" s="113"/>
      <c r="N24" s="113"/>
      <c r="O24" s="113"/>
      <c r="P24" s="113"/>
      <c r="Q24" s="92"/>
    </row>
    <row r="25" spans="1:17" ht="15.9" customHeight="1">
      <c r="A25" s="1"/>
      <c r="B25" s="113" t="s">
        <v>115</v>
      </c>
      <c r="C25" s="113"/>
      <c r="D25" s="113"/>
      <c r="E25" s="113"/>
      <c r="F25" s="113"/>
      <c r="G25" s="113"/>
      <c r="H25" s="113"/>
      <c r="I25" s="113"/>
      <c r="J25" s="113"/>
      <c r="K25" s="113"/>
      <c r="L25" s="113"/>
      <c r="M25" s="113"/>
      <c r="N25" s="113"/>
      <c r="O25" s="113"/>
      <c r="P25" s="113"/>
      <c r="Q25" s="92"/>
    </row>
    <row r="26" spans="1:17" ht="15.9" customHeight="1">
      <c r="A26" s="1"/>
      <c r="B26" s="113"/>
      <c r="C26" s="113"/>
      <c r="D26" s="113"/>
      <c r="E26" s="113"/>
      <c r="F26" s="113"/>
      <c r="G26" s="113"/>
      <c r="H26" s="113"/>
      <c r="I26" s="113"/>
      <c r="J26" s="113"/>
      <c r="K26" s="113"/>
      <c r="L26" s="113"/>
      <c r="M26" s="113"/>
      <c r="N26" s="113"/>
      <c r="O26" s="113"/>
      <c r="P26" s="113"/>
      <c r="Q26" s="92"/>
    </row>
    <row r="27" spans="1:17" ht="15.9" customHeight="1">
      <c r="A27" s="1"/>
      <c r="B27" s="113"/>
      <c r="C27" s="113"/>
      <c r="D27" s="113"/>
      <c r="E27" s="113"/>
      <c r="F27" s="113"/>
      <c r="G27" s="113"/>
      <c r="H27" s="113"/>
      <c r="I27" s="113"/>
      <c r="J27" s="113"/>
      <c r="K27" s="113"/>
      <c r="L27" s="113"/>
      <c r="M27" s="113"/>
      <c r="N27" s="113"/>
      <c r="O27" s="113"/>
      <c r="P27" s="113"/>
      <c r="Q27" s="92"/>
    </row>
    <row r="28" spans="1:17" ht="15.9" customHeight="1">
      <c r="A28" s="1"/>
      <c r="B28" s="113"/>
      <c r="C28" s="113"/>
      <c r="D28" s="113"/>
      <c r="E28" s="113"/>
      <c r="F28" s="113"/>
      <c r="G28" s="113"/>
      <c r="H28" s="113"/>
      <c r="I28" s="113"/>
      <c r="J28" s="113"/>
      <c r="K28" s="113"/>
      <c r="L28" s="113"/>
      <c r="M28" s="113"/>
      <c r="N28" s="113"/>
      <c r="O28" s="113"/>
      <c r="P28" s="113"/>
      <c r="Q28" s="1"/>
    </row>
    <row r="29" spans="1:17" ht="15.9" customHeight="1">
      <c r="A29" s="1"/>
      <c r="B29" s="113"/>
      <c r="C29" s="113"/>
      <c r="D29" s="113"/>
      <c r="E29" s="113"/>
      <c r="F29" s="113"/>
      <c r="G29" s="113"/>
      <c r="H29" s="113"/>
      <c r="I29" s="113"/>
      <c r="J29" s="113"/>
      <c r="K29" s="113"/>
      <c r="L29" s="113"/>
      <c r="M29" s="113"/>
      <c r="N29" s="113"/>
      <c r="O29" s="113"/>
      <c r="P29" s="113"/>
      <c r="Q29" s="1"/>
    </row>
    <row r="30" spans="1:17" ht="15.9" customHeight="1">
      <c r="A30" s="95"/>
      <c r="B30" s="113"/>
      <c r="C30" s="113"/>
      <c r="D30" s="113"/>
      <c r="E30" s="113"/>
      <c r="F30" s="113"/>
      <c r="G30" s="113"/>
      <c r="H30" s="113"/>
      <c r="I30" s="113"/>
      <c r="J30" s="113"/>
      <c r="K30" s="113"/>
      <c r="L30" s="113"/>
      <c r="M30" s="113"/>
      <c r="N30" s="113"/>
      <c r="O30" s="113"/>
      <c r="P30" s="113"/>
      <c r="Q30" s="95"/>
    </row>
    <row r="31" spans="1:17" ht="15.9" customHeight="1">
      <c r="A31" s="95"/>
      <c r="B31" s="113" t="s">
        <v>126</v>
      </c>
      <c r="C31" s="113"/>
      <c r="D31" s="113"/>
      <c r="E31" s="113"/>
      <c r="F31" s="113"/>
      <c r="G31" s="113"/>
      <c r="H31" s="113"/>
      <c r="I31" s="113"/>
      <c r="J31" s="113"/>
      <c r="K31" s="113"/>
      <c r="L31" s="113"/>
      <c r="M31" s="113"/>
      <c r="N31" s="113"/>
      <c r="O31" s="113"/>
      <c r="P31" s="113"/>
      <c r="Q31" s="95"/>
    </row>
    <row r="32" spans="1:17" ht="15.9" customHeight="1">
      <c r="A32" s="95"/>
      <c r="B32" s="113"/>
      <c r="C32" s="113"/>
      <c r="D32" s="113"/>
      <c r="E32" s="113"/>
      <c r="F32" s="113"/>
      <c r="G32" s="113"/>
      <c r="H32" s="113"/>
      <c r="I32" s="113"/>
      <c r="J32" s="113"/>
      <c r="K32" s="113"/>
      <c r="L32" s="113"/>
      <c r="M32" s="113"/>
      <c r="N32" s="113"/>
      <c r="O32" s="113"/>
      <c r="P32" s="113"/>
      <c r="Q32" s="95"/>
    </row>
    <row r="33" spans="1:17" ht="15.9" customHeight="1">
      <c r="A33" s="1"/>
      <c r="B33" s="113"/>
      <c r="C33" s="113"/>
      <c r="D33" s="113"/>
      <c r="E33" s="113"/>
      <c r="F33" s="113"/>
      <c r="G33" s="113"/>
      <c r="H33" s="113"/>
      <c r="I33" s="113"/>
      <c r="J33" s="113"/>
      <c r="K33" s="113"/>
      <c r="L33" s="113"/>
      <c r="M33" s="113"/>
      <c r="N33" s="113"/>
      <c r="O33" s="113"/>
      <c r="P33" s="113"/>
      <c r="Q33" s="1"/>
    </row>
    <row r="34" spans="1:17" ht="15.9" customHeight="1">
      <c r="A34" s="1"/>
      <c r="B34" s="113"/>
      <c r="C34" s="113"/>
      <c r="D34" s="113"/>
      <c r="E34" s="113"/>
      <c r="F34" s="113"/>
      <c r="G34" s="113"/>
      <c r="H34" s="113"/>
      <c r="I34" s="113"/>
      <c r="J34" s="113"/>
      <c r="K34" s="113"/>
      <c r="L34" s="113"/>
      <c r="M34" s="113"/>
      <c r="N34" s="113"/>
      <c r="O34" s="113"/>
      <c r="P34" s="113"/>
      <c r="Q34" s="1"/>
    </row>
    <row r="35" spans="1:17" ht="15.9" customHeight="1">
      <c r="A35" s="1"/>
      <c r="B35" s="113" t="s">
        <v>89</v>
      </c>
      <c r="C35" s="113"/>
      <c r="D35" s="113"/>
      <c r="E35" s="113"/>
      <c r="F35" s="113"/>
      <c r="G35" s="113"/>
      <c r="H35" s="113"/>
      <c r="I35" s="113"/>
      <c r="J35" s="113"/>
      <c r="K35" s="113"/>
      <c r="L35" s="113"/>
      <c r="M35" s="113"/>
      <c r="N35" s="113"/>
      <c r="O35" s="113"/>
      <c r="P35" s="113"/>
      <c r="Q35" s="1"/>
    </row>
    <row r="36" spans="1:17" ht="15.9" customHeight="1">
      <c r="A36" s="1"/>
      <c r="B36" s="113"/>
      <c r="C36" s="113"/>
      <c r="D36" s="113"/>
      <c r="E36" s="113"/>
      <c r="F36" s="113"/>
      <c r="G36" s="113"/>
      <c r="H36" s="113"/>
      <c r="I36" s="113"/>
      <c r="J36" s="113"/>
      <c r="K36" s="113"/>
      <c r="L36" s="113"/>
      <c r="M36" s="113"/>
      <c r="N36" s="113"/>
      <c r="O36" s="113"/>
      <c r="P36" s="113"/>
      <c r="Q36" s="1"/>
    </row>
    <row r="37" spans="1:17" ht="15.9" customHeight="1">
      <c r="A37" s="1"/>
      <c r="B37" s="113"/>
      <c r="C37" s="113"/>
      <c r="D37" s="113"/>
      <c r="E37" s="113"/>
      <c r="F37" s="113"/>
      <c r="G37" s="113"/>
      <c r="H37" s="113"/>
      <c r="I37" s="113"/>
      <c r="J37" s="113"/>
      <c r="K37" s="113"/>
      <c r="L37" s="113"/>
      <c r="M37" s="113"/>
      <c r="N37" s="113"/>
      <c r="O37" s="113"/>
      <c r="P37" s="113"/>
      <c r="Q37" s="1"/>
    </row>
    <row r="38" spans="1:17" ht="15.9" customHeight="1">
      <c r="A38" s="1"/>
      <c r="B38" s="96" t="s">
        <v>75</v>
      </c>
      <c r="C38" s="94"/>
      <c r="D38" s="94"/>
      <c r="E38" s="94"/>
      <c r="F38" s="94"/>
      <c r="G38" s="94"/>
      <c r="H38" s="94"/>
      <c r="I38" s="94"/>
      <c r="J38" s="94"/>
      <c r="K38" s="94"/>
      <c r="L38" s="94"/>
      <c r="M38" s="94"/>
      <c r="N38" s="94"/>
      <c r="O38" s="94"/>
      <c r="P38" s="94"/>
      <c r="Q38" s="1"/>
    </row>
    <row r="39" spans="1:17" ht="14.4" customHeight="1">
      <c r="A39" s="1"/>
      <c r="B39" s="94"/>
      <c r="C39" s="94"/>
      <c r="D39" s="94"/>
      <c r="E39" s="94"/>
      <c r="F39" s="94"/>
      <c r="G39" s="94"/>
      <c r="H39" s="94"/>
      <c r="I39" s="94"/>
      <c r="J39" s="94"/>
      <c r="K39" s="94"/>
      <c r="L39" s="94"/>
      <c r="M39" s="94"/>
      <c r="N39" s="94"/>
      <c r="O39" s="94"/>
      <c r="P39" s="94"/>
      <c r="Q39" s="1"/>
    </row>
    <row r="40" spans="1:17" ht="14.4" hidden="1" customHeight="1">
      <c r="A40" s="1"/>
      <c r="B40" s="1"/>
      <c r="C40" s="1"/>
      <c r="D40" s="1"/>
      <c r="E40" s="1"/>
      <c r="F40" s="1"/>
      <c r="G40" s="1"/>
      <c r="H40" s="1"/>
      <c r="I40" s="1"/>
      <c r="J40" s="1"/>
      <c r="K40" s="1"/>
      <c r="L40" s="1"/>
      <c r="M40" s="1"/>
      <c r="N40" s="1"/>
      <c r="O40" s="1"/>
      <c r="P40" s="1"/>
      <c r="Q40" s="1"/>
    </row>
    <row r="41" spans="1:17" ht="15.6" hidden="1">
      <c r="A41" s="1"/>
      <c r="B41" s="1"/>
      <c r="C41" s="1"/>
      <c r="D41" s="1"/>
      <c r="E41" s="1"/>
      <c r="F41" s="1"/>
      <c r="G41" s="1"/>
      <c r="H41" s="1"/>
      <c r="I41" s="1"/>
      <c r="J41" s="1"/>
      <c r="K41" s="1"/>
      <c r="L41" s="1"/>
      <c r="M41" s="1"/>
      <c r="N41" s="1"/>
      <c r="O41" s="94"/>
      <c r="P41" s="94"/>
      <c r="Q41" s="1"/>
    </row>
    <row r="42" spans="1:17" ht="15.6" hidden="1">
      <c r="A42" s="1"/>
      <c r="B42" s="1"/>
      <c r="C42" s="1"/>
      <c r="D42" s="1"/>
      <c r="E42" s="1"/>
      <c r="F42" s="1"/>
      <c r="G42" s="1"/>
      <c r="H42" s="1"/>
      <c r="I42" s="1"/>
      <c r="J42" s="1"/>
      <c r="K42" s="1"/>
      <c r="L42" s="1"/>
      <c r="M42" s="1"/>
      <c r="N42" s="1"/>
      <c r="O42" s="94"/>
      <c r="P42" s="94"/>
      <c r="Q42" s="1"/>
    </row>
    <row r="43" spans="1:17" ht="15.6" hidden="1">
      <c r="A43" s="1"/>
      <c r="B43" s="1"/>
      <c r="C43" s="1"/>
      <c r="D43" s="1"/>
      <c r="E43" s="1"/>
      <c r="F43" s="1"/>
      <c r="G43" s="1"/>
      <c r="H43" s="1"/>
      <c r="I43" s="1"/>
      <c r="J43" s="1"/>
      <c r="K43" s="1"/>
      <c r="L43" s="1"/>
      <c r="M43" s="1"/>
      <c r="N43" s="1"/>
      <c r="O43" s="94"/>
      <c r="P43" s="94"/>
      <c r="Q43" s="1"/>
    </row>
    <row r="44" spans="1:17" ht="15.6" hidden="1">
      <c r="A44" s="1"/>
      <c r="B44" s="1"/>
      <c r="C44" s="1"/>
      <c r="D44" s="1"/>
      <c r="E44" s="1"/>
      <c r="F44" s="1"/>
      <c r="G44" s="1"/>
      <c r="H44" s="1"/>
      <c r="I44" s="1"/>
      <c r="J44" s="1"/>
      <c r="K44" s="1"/>
      <c r="L44" s="1"/>
      <c r="M44" s="1"/>
      <c r="N44" s="1"/>
      <c r="O44" s="94"/>
      <c r="P44" s="94"/>
      <c r="Q44" s="1"/>
    </row>
    <row r="45" spans="1:17" hidden="1">
      <c r="A45" s="1"/>
      <c r="B45" s="1"/>
      <c r="C45" s="1"/>
      <c r="D45" s="1"/>
      <c r="E45" s="1"/>
      <c r="F45" s="1"/>
      <c r="G45" s="1"/>
      <c r="H45" s="1"/>
      <c r="I45" s="1"/>
      <c r="J45" s="1"/>
      <c r="K45" s="1"/>
      <c r="L45" s="1"/>
      <c r="M45" s="1"/>
      <c r="N45" s="1"/>
      <c r="O45" s="1"/>
      <c r="P45" s="1"/>
      <c r="Q45" s="1"/>
    </row>
    <row r="46" spans="1:17" hidden="1">
      <c r="A46" s="1"/>
      <c r="B46" s="1"/>
      <c r="C46" s="1"/>
      <c r="D46" s="1"/>
      <c r="E46" s="1"/>
      <c r="F46" s="1"/>
      <c r="G46" s="1"/>
      <c r="H46" s="1"/>
      <c r="I46" s="1"/>
      <c r="J46" s="1"/>
      <c r="K46" s="1"/>
      <c r="L46" s="1"/>
      <c r="M46" s="1"/>
      <c r="N46" s="1"/>
      <c r="O46" s="1"/>
      <c r="P46" s="1"/>
      <c r="Q46" s="1"/>
    </row>
    <row r="47" spans="1:17" hidden="1">
      <c r="A47" s="1"/>
      <c r="B47" s="1"/>
      <c r="C47" s="1"/>
      <c r="D47" s="1"/>
      <c r="E47" s="1"/>
      <c r="F47" s="1"/>
      <c r="G47" s="1"/>
      <c r="H47" s="1"/>
      <c r="I47" s="1"/>
      <c r="J47" s="1"/>
      <c r="K47" s="1"/>
      <c r="L47" s="1"/>
      <c r="M47" s="1"/>
      <c r="N47" s="1"/>
      <c r="O47" s="1"/>
      <c r="P47" s="1"/>
      <c r="Q47" s="1"/>
    </row>
    <row r="48" spans="1:17" hidden="1">
      <c r="A48" s="1"/>
      <c r="B48" s="1"/>
      <c r="C48" s="1"/>
      <c r="D48" s="1"/>
      <c r="E48" s="1"/>
      <c r="F48" s="1"/>
      <c r="G48" s="1"/>
      <c r="H48" s="1"/>
      <c r="I48" s="1"/>
      <c r="J48" s="1"/>
      <c r="K48" s="1"/>
      <c r="L48" s="1"/>
      <c r="M48" s="1"/>
      <c r="N48" s="1"/>
      <c r="O48" s="1"/>
      <c r="P48" s="1"/>
      <c r="Q48" s="1"/>
    </row>
  </sheetData>
  <sheetProtection algorithmName="SHA-512" hashValue="KVAJySrF5NCjdbZedUph4kSo2HwnMykegbsgDyJKPby6Sv4uu7a8eF17TRSBOJvfTzwbw/e++vrWXEC0Qa+Lcw==" saltValue="9SY7Furz/q8O6BxjUbKpfA==" spinCount="100000" sheet="1" objects="1" scenarios="1"/>
  <mergeCells count="10">
    <mergeCell ref="J16:O18"/>
    <mergeCell ref="B35:P37"/>
    <mergeCell ref="B31:P34"/>
    <mergeCell ref="B12:P15"/>
    <mergeCell ref="A4:Q4"/>
    <mergeCell ref="B7:P11"/>
    <mergeCell ref="B25:P30"/>
    <mergeCell ref="A5:Q5"/>
    <mergeCell ref="B20:P24"/>
    <mergeCell ref="C16:H18"/>
  </mergeCells>
  <hyperlinks>
    <hyperlink ref="L16:O18" location="'Defense &amp; Nondefense Model'!A1" display="Defense &amp; Nondefense Model" xr:uid="{3E47F6B7-FFF3-42B0-B399-6CB17BF5D86C}"/>
    <hyperlink ref="C16:F18" location="'Discretionary Model'!A1" display="Discretionary Model" xr:uid="{2EED0675-7889-4EC9-8242-FD47A6DEF7BE}"/>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109A1-2852-4AAC-8FA9-BE3D07B31E5E}">
  <sheetPr codeName="Sheet1"/>
  <dimension ref="A1:AD167"/>
  <sheetViews>
    <sheetView showGridLines="0" showRowColHeaders="0" topLeftCell="E1" zoomScaleNormal="100" workbookViewId="0">
      <selection activeCell="L4" sqref="L4:N4"/>
    </sheetView>
  </sheetViews>
  <sheetFormatPr defaultColWidth="0" defaultRowHeight="14.4" zeroHeight="1"/>
  <cols>
    <col min="1" max="1" width="8.44140625" hidden="1" customWidth="1"/>
    <col min="2" max="3" width="9.109375" hidden="1" customWidth="1"/>
    <col min="4" max="4" width="8.88671875" hidden="1" customWidth="1"/>
    <col min="5" max="26" width="8.88671875" customWidth="1"/>
    <col min="27" max="29" width="8.88671875" hidden="1" customWidth="1"/>
    <col min="30" max="30" width="25.6640625" hidden="1" customWidth="1"/>
    <col min="31" max="16384" width="8.88671875" hidden="1"/>
  </cols>
  <sheetData>
    <row r="1" spans="1:30" ht="17.399999999999999">
      <c r="A1" s="1"/>
      <c r="B1" s="1"/>
      <c r="C1" s="1"/>
      <c r="D1" s="1"/>
      <c r="E1" s="1"/>
      <c r="F1" s="1"/>
      <c r="G1" s="1"/>
      <c r="H1" s="29"/>
      <c r="I1" s="29"/>
      <c r="J1" s="29"/>
      <c r="K1" s="114" t="s">
        <v>59</v>
      </c>
      <c r="L1" s="114"/>
      <c r="M1" s="114"/>
      <c r="N1" s="114"/>
      <c r="O1" s="114"/>
      <c r="P1" s="114"/>
      <c r="Q1" s="114"/>
      <c r="R1" s="114"/>
      <c r="S1" s="114"/>
      <c r="T1" s="114"/>
      <c r="U1" s="114"/>
      <c r="V1" s="30"/>
      <c r="W1" s="30"/>
      <c r="X1" s="29"/>
      <c r="Y1" s="1"/>
      <c r="Z1" s="1"/>
      <c r="AA1" s="1"/>
      <c r="AB1" s="1"/>
      <c r="AC1" s="1"/>
      <c r="AD1" s="1"/>
    </row>
    <row r="2" spans="1:30" ht="15" customHeight="1">
      <c r="A2" s="1"/>
      <c r="B2" s="1"/>
      <c r="C2" s="1"/>
      <c r="D2" s="1"/>
      <c r="E2" s="1"/>
      <c r="F2" s="1"/>
      <c r="G2" s="1"/>
      <c r="H2" s="28"/>
      <c r="I2" s="28"/>
      <c r="J2" s="28"/>
      <c r="K2" s="114"/>
      <c r="L2" s="114"/>
      <c r="M2" s="114"/>
      <c r="N2" s="114"/>
      <c r="O2" s="114"/>
      <c r="P2" s="114"/>
      <c r="Q2" s="114"/>
      <c r="R2" s="114"/>
      <c r="S2" s="114"/>
      <c r="T2" s="114"/>
      <c r="U2" s="114"/>
      <c r="V2" s="30"/>
      <c r="W2" s="30"/>
      <c r="X2" s="28"/>
      <c r="Y2" s="1"/>
      <c r="Z2" s="1"/>
      <c r="AA2" s="1"/>
      <c r="AB2" s="1"/>
      <c r="AC2" s="1"/>
      <c r="AD2" s="1"/>
    </row>
    <row r="3" spans="1:30" ht="20.399999999999999" customHeight="1">
      <c r="A3" s="1"/>
      <c r="B3" s="1"/>
      <c r="C3" s="1"/>
      <c r="D3" s="1"/>
      <c r="E3" s="1"/>
      <c r="F3" s="1"/>
      <c r="G3" s="1"/>
      <c r="H3" s="1"/>
      <c r="I3" s="1"/>
      <c r="J3" s="1"/>
      <c r="K3" s="1"/>
      <c r="L3" s="1"/>
      <c r="M3" s="21" t="s">
        <v>40</v>
      </c>
      <c r="N3" s="1"/>
      <c r="O3" s="1"/>
      <c r="P3" s="1"/>
      <c r="Q3" s="1"/>
      <c r="R3" s="1"/>
      <c r="S3" s="21" t="s">
        <v>41</v>
      </c>
      <c r="T3" s="1"/>
      <c r="U3" s="1"/>
      <c r="V3" s="1"/>
      <c r="W3" s="1"/>
      <c r="X3" s="1"/>
      <c r="Y3" s="1"/>
      <c r="Z3" s="1"/>
      <c r="AA3" s="1"/>
      <c r="AB3" s="1"/>
      <c r="AC3" s="1"/>
      <c r="AD3" s="1"/>
    </row>
    <row r="4" spans="1:30" ht="14.4" customHeight="1">
      <c r="A4" s="1"/>
      <c r="B4" s="1"/>
      <c r="C4" s="1"/>
      <c r="D4" s="1"/>
      <c r="E4" s="1"/>
      <c r="F4" s="1"/>
      <c r="G4" s="1"/>
      <c r="H4" s="13"/>
      <c r="I4" s="13"/>
      <c r="J4" s="13"/>
      <c r="K4" s="1"/>
      <c r="L4" s="125" t="s">
        <v>125</v>
      </c>
      <c r="M4" s="125"/>
      <c r="N4" s="125"/>
      <c r="O4" s="37"/>
      <c r="P4" s="38" t="s">
        <v>74</v>
      </c>
      <c r="Q4" s="36"/>
      <c r="R4" s="126" t="s">
        <v>123</v>
      </c>
      <c r="S4" s="126"/>
      <c r="T4" s="126"/>
      <c r="U4" s="1"/>
      <c r="V4" s="1"/>
      <c r="W4" s="1"/>
      <c r="X4" s="1"/>
      <c r="Y4" s="1"/>
      <c r="Z4" s="1"/>
      <c r="AA4" s="1"/>
      <c r="AB4" s="1"/>
      <c r="AC4" s="1"/>
      <c r="AD4" s="1"/>
    </row>
    <row r="5" spans="1:30" ht="3.6" customHeight="1">
      <c r="A5" s="1"/>
      <c r="B5" s="1"/>
      <c r="C5" s="1"/>
      <c r="D5" s="1"/>
      <c r="E5" s="1"/>
      <c r="F5" s="1"/>
      <c r="G5" s="1"/>
      <c r="H5" s="13"/>
      <c r="I5" s="13"/>
      <c r="J5" s="13"/>
      <c r="K5" s="1"/>
      <c r="L5" s="1"/>
      <c r="M5" s="1"/>
      <c r="N5" s="1"/>
      <c r="O5" s="1"/>
      <c r="P5" s="1"/>
      <c r="Q5" s="1"/>
      <c r="R5" s="1"/>
      <c r="S5" s="1"/>
      <c r="T5" s="1"/>
      <c r="U5" s="1"/>
      <c r="V5" s="1"/>
      <c r="W5" s="1"/>
      <c r="X5" s="1"/>
      <c r="Y5" s="1"/>
      <c r="Z5" s="1"/>
    </row>
    <row r="6" spans="1:30">
      <c r="A6" s="1"/>
      <c r="B6" s="1"/>
      <c r="C6" s="1"/>
      <c r="D6" s="1"/>
      <c r="E6" s="1"/>
      <c r="F6" s="1"/>
      <c r="G6" s="1"/>
      <c r="H6" s="1"/>
      <c r="I6" s="1"/>
      <c r="J6" s="14"/>
      <c r="K6" s="98" t="s">
        <v>58</v>
      </c>
      <c r="L6" s="127">
        <v>1699.7570000000001</v>
      </c>
      <c r="M6" s="127"/>
      <c r="N6" s="127"/>
      <c r="O6" s="128"/>
      <c r="P6" s="128"/>
      <c r="Q6" s="128"/>
      <c r="R6" s="1"/>
      <c r="S6" s="1"/>
      <c r="T6" s="1"/>
      <c r="U6" s="1"/>
      <c r="V6" s="1"/>
      <c r="W6" s="1"/>
      <c r="X6" s="1"/>
      <c r="Y6" s="1"/>
      <c r="Z6" s="1"/>
      <c r="AA6" s="1"/>
      <c r="AB6" s="1"/>
      <c r="AC6" s="1"/>
      <c r="AD6" s="1"/>
    </row>
    <row r="7" spans="1:30" ht="3.6" customHeight="1" thickBot="1">
      <c r="A7" s="1"/>
      <c r="B7" s="1"/>
      <c r="C7" s="1"/>
      <c r="D7" s="1"/>
      <c r="E7" s="1"/>
      <c r="F7" s="1"/>
      <c r="G7" s="1"/>
      <c r="H7" s="1"/>
      <c r="I7" s="19"/>
      <c r="J7" s="19"/>
      <c r="K7" s="20"/>
      <c r="L7" s="19"/>
      <c r="M7" s="19"/>
      <c r="N7" s="19"/>
      <c r="O7" s="19"/>
      <c r="P7" s="19"/>
      <c r="Q7" s="20"/>
      <c r="R7" s="19"/>
      <c r="S7" s="19"/>
      <c r="T7" s="19"/>
      <c r="U7" s="1"/>
      <c r="V7" s="1"/>
      <c r="W7" s="1"/>
      <c r="X7" s="1"/>
      <c r="Y7" s="1"/>
      <c r="Z7" s="1"/>
      <c r="AA7" s="1"/>
      <c r="AB7" s="1"/>
      <c r="AC7" s="1"/>
      <c r="AD7" s="1"/>
    </row>
    <row r="8" spans="1:30" ht="21.6" customHeight="1">
      <c r="A8" s="1"/>
      <c r="B8" s="1"/>
      <c r="C8" s="1"/>
      <c r="D8" s="1"/>
      <c r="E8" s="1"/>
      <c r="F8" s="78" t="s">
        <v>47</v>
      </c>
      <c r="G8" s="34"/>
      <c r="H8" s="34"/>
      <c r="I8" s="31"/>
      <c r="J8" s="32">
        <v>2019</v>
      </c>
      <c r="K8" s="32">
        <v>2020</v>
      </c>
      <c r="L8" s="32">
        <v>2021</v>
      </c>
      <c r="M8" s="32">
        <v>2022</v>
      </c>
      <c r="N8" s="32">
        <v>2023</v>
      </c>
      <c r="O8" s="32">
        <v>2024</v>
      </c>
      <c r="P8" s="32">
        <v>2025</v>
      </c>
      <c r="Q8" s="32">
        <v>2026</v>
      </c>
      <c r="R8" s="32">
        <v>2027</v>
      </c>
      <c r="S8" s="32">
        <v>2028</v>
      </c>
      <c r="T8" s="32">
        <v>2029</v>
      </c>
      <c r="U8" s="32">
        <v>2030</v>
      </c>
      <c r="V8" s="32">
        <v>2031</v>
      </c>
      <c r="W8" s="32">
        <v>2032</v>
      </c>
      <c r="X8" s="32">
        <v>2033</v>
      </c>
      <c r="Y8" s="33"/>
      <c r="Z8" s="1"/>
      <c r="AA8" s="1"/>
      <c r="AB8" s="1"/>
      <c r="AC8" s="1"/>
      <c r="AD8" s="1"/>
    </row>
    <row r="9" spans="1:30" ht="18.600000000000001" thickBot="1">
      <c r="A9" s="1"/>
      <c r="B9" s="1"/>
      <c r="C9" s="1"/>
      <c r="D9" s="1"/>
      <c r="E9" s="1"/>
      <c r="F9" s="39"/>
      <c r="G9" s="76"/>
      <c r="H9" s="75" t="s">
        <v>72</v>
      </c>
      <c r="I9" s="87"/>
      <c r="J9" s="79">
        <v>1321</v>
      </c>
      <c r="K9" s="79">
        <v>1367.5</v>
      </c>
      <c r="L9" s="79">
        <v>1375</v>
      </c>
      <c r="M9" s="79">
        <v>1470.979</v>
      </c>
      <c r="N9" s="79">
        <v>1602.2470000000001</v>
      </c>
      <c r="O9" s="79">
        <v>1699.7570000000001</v>
      </c>
      <c r="P9" s="79">
        <v>1741.8130000000001</v>
      </c>
      <c r="Q9" s="79">
        <v>1783.6659999999999</v>
      </c>
      <c r="R9" s="79">
        <v>1826.7939999999999</v>
      </c>
      <c r="S9" s="79">
        <v>1869.616</v>
      </c>
      <c r="T9" s="79">
        <v>1914.3520000000001</v>
      </c>
      <c r="U9" s="79">
        <v>1960.6479999999999</v>
      </c>
      <c r="V9" s="79">
        <v>2007.576</v>
      </c>
      <c r="W9" s="79">
        <v>2055.1379999999999</v>
      </c>
      <c r="X9" s="79">
        <v>2105.277</v>
      </c>
      <c r="Y9" s="40"/>
      <c r="Z9" s="1"/>
      <c r="AA9" s="1"/>
      <c r="AB9" s="1"/>
      <c r="AC9" s="1"/>
      <c r="AD9" s="1"/>
    </row>
    <row r="10" spans="1:30" ht="18.600000000000001" thickBot="1">
      <c r="A10" s="1"/>
      <c r="B10" s="1"/>
      <c r="C10" s="1"/>
      <c r="D10" s="1"/>
      <c r="E10" s="1"/>
      <c r="F10" s="39"/>
      <c r="G10" s="80"/>
      <c r="H10" s="81"/>
      <c r="I10" s="82" t="s">
        <v>78</v>
      </c>
      <c r="J10" s="83">
        <f>J9</f>
        <v>1321</v>
      </c>
      <c r="K10" s="83">
        <f>K9</f>
        <v>1367.5</v>
      </c>
      <c r="L10" s="83">
        <f t="shared" ref="L10:N10" si="0">L9</f>
        <v>1375</v>
      </c>
      <c r="M10" s="83">
        <f t="shared" si="0"/>
        <v>1470.979</v>
      </c>
      <c r="N10" s="83">
        <f t="shared" si="0"/>
        <v>1602.2470000000001</v>
      </c>
      <c r="O10" s="41" cm="1">
        <f t="array" ref="O10">_xlfn.IFS(L4="Revert to FY 2022",M9,L4="Freeze at FY 2023",N9,L4="Cut 5% Below FY 2023",N9*0.95,L4="Cut 1% Below FY 2023",N9*0.99,L4="Grow 1% Above FY 2023",N9*1.01,L4="Grow 2% Above FY 2023",N9*1.02,L4="Baseline Path",O9,L4="Custom Level",L6,L4="Custom Growth Rate",((O13+1)*N9),L4="Custom",O11,L4="Revert to FY 2021",L9,L4="Revert to FY 2020",K9,L4="Revert to FY 2019",J9,L4="Limit, Save, Grow",M9,L4="Fiscal Responsibility Act (FRA)",1590,L4="FRA with Side Agreements",1631.555,L4="President's Request",I145)</f>
        <v>1590</v>
      </c>
      <c r="P10" s="42">
        <f>IF(AND(P11&lt;&gt;0,$L$4="Custom"),P11,O10*(1+P12))</f>
        <v>1605.9</v>
      </c>
      <c r="Q10" s="42">
        <f>IF(AND(Q11&lt;&gt;0,$L$4="Custom"),Q11,P10*(1+Q12))</f>
        <v>1644.4872264703502</v>
      </c>
      <c r="R10" s="42">
        <f>IF(AND(R11&lt;&gt;0,$L$4="Custom"),R11,Q10*(1+R12))</f>
        <v>1684.249965179959</v>
      </c>
      <c r="S10" s="42">
        <f t="shared" ref="S10:X10" si="1">IF(AND(S11&lt;&gt;0,$L$4="Custom"),S11,R10*(1+S12))</f>
        <v>1723.7305809521458</v>
      </c>
      <c r="T10" s="42">
        <f t="shared" si="1"/>
        <v>1764.9758480387964</v>
      </c>
      <c r="U10" s="42">
        <f t="shared" si="1"/>
        <v>1807.6593889240694</v>
      </c>
      <c r="V10" s="42">
        <f t="shared" si="1"/>
        <v>1850.9256150918613</v>
      </c>
      <c r="W10" s="42">
        <f t="shared" si="1"/>
        <v>1894.7763704829395</v>
      </c>
      <c r="X10" s="43">
        <f t="shared" si="1"/>
        <v>1941.0030435528959</v>
      </c>
      <c r="Y10" s="40"/>
      <c r="Z10" s="1"/>
      <c r="AA10" s="1"/>
      <c r="AB10" s="1"/>
      <c r="AC10" s="1"/>
      <c r="AD10" s="1"/>
    </row>
    <row r="11" spans="1:30" ht="15.75" hidden="1" customHeight="1">
      <c r="A11" s="1"/>
      <c r="B11" s="1"/>
      <c r="C11" s="1"/>
      <c r="D11" s="1"/>
      <c r="E11" s="1"/>
      <c r="F11" s="39"/>
      <c r="G11" s="80"/>
      <c r="H11" s="76"/>
      <c r="I11" s="88"/>
      <c r="J11" s="76"/>
      <c r="K11" s="76"/>
      <c r="L11" s="75"/>
      <c r="M11" s="75"/>
      <c r="N11" s="86" t="s">
        <v>36</v>
      </c>
      <c r="O11" s="44"/>
      <c r="P11" s="44"/>
      <c r="Q11" s="44"/>
      <c r="R11" s="44"/>
      <c r="S11" s="44"/>
      <c r="T11" s="44"/>
      <c r="U11" s="44"/>
      <c r="V11" s="44"/>
      <c r="W11" s="44"/>
      <c r="X11" s="44"/>
      <c r="Y11" s="40"/>
      <c r="Z11" s="1"/>
      <c r="AA11" s="1"/>
      <c r="AB11" s="1"/>
      <c r="AC11" s="1"/>
      <c r="AD11" s="1"/>
    </row>
    <row r="12" spans="1:30" ht="18">
      <c r="A12" s="1"/>
      <c r="B12" s="1"/>
      <c r="C12" s="1"/>
      <c r="D12" s="1"/>
      <c r="E12" s="1"/>
      <c r="F12" s="39"/>
      <c r="G12" s="80"/>
      <c r="H12" s="84"/>
      <c r="I12" s="85" t="s">
        <v>0</v>
      </c>
      <c r="J12" s="45">
        <v>2.7138699491562474E-2</v>
      </c>
      <c r="K12" s="45">
        <f t="shared" ref="K12:L12" si="2">(K10-J10)/J10</f>
        <v>3.5200605601816808E-2</v>
      </c>
      <c r="L12" s="45">
        <f t="shared" si="2"/>
        <v>5.4844606946983544E-3</v>
      </c>
      <c r="M12" s="45">
        <f>(M10-L10)/L10</f>
        <v>6.9802909090909124E-2</v>
      </c>
      <c r="N12" s="45">
        <f>(N10-M10)/M10</f>
        <v>8.9238527538462495E-2</v>
      </c>
      <c r="O12" s="46">
        <f>IF(L4="Custom Growth Rate",O13,((O10-N9)/N9))</f>
        <v>-7.6436404624256249E-3</v>
      </c>
      <c r="P12" s="46" cm="1">
        <f t="array" ref="P12">_xlfn.IFS(AND(P11&lt;&gt;0,$L$4="Custom"),((P11-O11)/O11),$R$4="Set Annual Growth Rate",$R$6,$R$4="Cut 1% Per Year",-1%,$R$4="Freeze",0,$R$4="Grow 1% in 2025",M166,$R$4="Grow 1% through 2029",M167,$R$4="Grow 1% Per Year",1%,$R$4="Grow 2% Per Year",2%,$R$4="Custom Growth Rates",P13,$R$4="Baseline Path",((P9-O9)/O9),$R$4="Grow with the Economy (GDP)",M125,$R$4="President's Path",M131,$R$4="Grow with Prices (GDPPI)",M134)</f>
        <v>0.01</v>
      </c>
      <c r="Q12" s="46" cm="1">
        <f t="array" ref="Q12">_xlfn.IFS(AND(Q11&lt;&gt;0,$L$4="Custom"),((Q11-P11)/P11),$R$4="Set Annual Growth Rate",$R$6,$R$4="Cut 1% Per Year",-1%,$R$4="Freeze",0,$R$4="Grow 1% in 2025",N166,$R$4="Grow 1% through 2029",N167,$R$4="Grow 1% Per Year",1%,$R$4="Grow 2% Per Year",2%,$R$4="Custom Growth Rates",Q13,$R$4="Baseline Path",((Q9-P9)/P9),$R$4="Grow with the Economy (GDP)",N125,$R$4="President's Path",N131,$R$4="Grow with Prices (GDPPI)",N134)</f>
        <v>2.4028411775546418E-2</v>
      </c>
      <c r="R12" s="46" cm="1">
        <f t="array" ref="R12">_xlfn.IFS(AND(R11&lt;&gt;0,$L$4="Custom"),((R11-Q11)/Q11),$R$4="Set Annual Growth Rate",$R$6,$R$4="Cut 1% Per Year",-1%,$R$4="Freeze",0,$R$4="Grow 1% in 2025",O166,$R$4="Grow 1% through 2029",O167,$R$4="Grow 1% Per Year",1%,$R$4="Grow 2% Per Year",2%,$R$4="Custom Growth Rates",R13,$R$4="Baseline Path",((R9-Q9)/Q9),$R$4="Grow with the Economy (GDP)",O125,$R$4="President's Path",O131,$R$4="Grow with Prices (GDPPI)",O134)</f>
        <v>2.417941475590157E-2</v>
      </c>
      <c r="S12" s="46" cm="1">
        <f t="array" ref="S12">_xlfn.IFS(AND(S11&lt;&gt;0,$L$4="Custom"),((S11-R11)/R11),$R$4="Set Annual Growth Rate",$R$6,$R$4="Cut 1% Per Year",-1%,$R$4="Freeze",0,$R$4="Grow 1% in 2025",P166,$R$4="Grow 1% through 2029",P167,$R$4="Grow 1% Per Year",1%,$R$4="Grow 2% Per Year",2%,$R$4="Custom Growth Rates",S13,$R$4="Baseline Path",((S9-R9)/R9),$R$4="Grow with the Economy (GDP)",P125,$R$4="President's Path",P131,$R$4="Grow with Prices (GDPPI)",P134)</f>
        <v>2.3441066699365184E-2</v>
      </c>
      <c r="T12" s="46" cm="1">
        <f t="array" ref="T12">_xlfn.IFS(AND(T11&lt;&gt;0,$L$4="Custom"),((T11-S11)/S11),$R$4="Set Annual Growth Rate",$R$6,$R$4="Cut 1% Per Year",-1%,$R$4="Freeze",0,$R$4="Grow 1% in 2025",Q166,$R$4="Grow 1% through 2029",Q167,$R$4="Grow 1% Per Year",1%,$R$4="Grow 2% Per Year",2%,$R$4="Custom Growth Rates",T13,$R$4="Baseline Path",((T9-S9)/S9),$R$4="Grow with the Economy (GDP)",Q125,$R$4="President's Path",Q131,$R$4="Grow with Prices (GDPPI)",Q134)</f>
        <v>2.392790819077292E-2</v>
      </c>
      <c r="U12" s="46" cm="1">
        <f t="array" ref="U12">_xlfn.IFS(AND(U11&lt;&gt;0,$L$4="Custom"),((U11-T11)/T11),$R$4="Set Annual Growth Rate",$R$6,$R$4="Cut 1% Per Year",-1%,$R$4="Freeze",0,$R$4="Grow 1% in 2025",R166,$R$4="Grow 1% through 2029",R167,$R$4="Grow 1% Per Year",1%,$R$4="Grow 2% Per Year",2%,$R$4="Custom Growth Rates",U13,$R$4="Baseline Path",((U9-T9)/T9),$R$4="Grow with the Economy (GDP)",R125,$R$4="President's Path",R131,$R$4="Grow with Prices (GDPPI)",R134)</f>
        <v>2.4183640208279261E-2</v>
      </c>
      <c r="V12" s="46" cm="1">
        <f t="array" ref="V12">_xlfn.IFS(AND(V11&lt;&gt;0,$L$4="Custom"),((V11-U11)/U11),$R$4="Set Annual Growth Rate",$R$6,$R$4="Cut 1% Per Year",-1%,$R$4="Freeze",0,$R$4="Grow 1% in 2025",S166,$R$4="Grow 1% through 2029",S167,$R$4="Grow 1% Per Year",1%,$R$4="Grow 2% Per Year",2%,$R$4="Custom Growth Rates",V13,$R$4="Baseline Path",((V9-U9)/U9),$R$4="Grow with the Economy (GDP)",S125,$R$4="President's Path",S131,$R$4="Grow with Prices (GDPPI)",S134)</f>
        <v>2.3934943957303969E-2</v>
      </c>
      <c r="W12" s="46" cm="1">
        <f t="array" ref="W12">_xlfn.IFS(AND(W11&lt;&gt;0,$L$4="Custom"),((W11-V11)/V11),$R$4="Set Annual Growth Rate",$R$6,$R$4="Cut 1% Per Year",-1%,$R$4="Freeze",0,$R$4="Grow 1% in 2025",T166,$R$4="Grow 1% through 2029",T167,$R$4="Grow 1% Per Year",1%,$R$4="Grow 2% Per Year",2%,$R$4="Custom Growth Rates",W13,$R$4="Baseline Path",((W9-V9)/V9),$R$4="Grow with the Economy (GDP)",T125,$R$4="President's Path",T131,$R$4="Grow with Prices (GDPPI)",T134)</f>
        <v>2.3691257516527342E-2</v>
      </c>
      <c r="X12" s="46" cm="1">
        <f t="array" ref="X12">_xlfn.IFS(AND(X11&lt;&gt;0,$L$4="Custom"),((X11-W11)/W11),$R$4="Set Annual Growth Rate",$R$6,$R$4="Cut 1% Per Year",-1%,$R$4="Freeze",0,$R$4="Grow 1% in 2025",U166,$R$4="Grow 1% through 2029",U167,$R$4="Grow 1% Per Year",1%,$R$4="Grow 2% Per Year",2%,$R$4="Custom Growth Rates",X13,$R$4="Baseline Path",((X9-W9)/W9),$R$4="Grow with the Economy (GDP)",U125,$R$4="President's Path",U131,$R$4="Grow with Prices (GDPPI)",U134)</f>
        <v>2.4396901813892851E-2</v>
      </c>
      <c r="Y12" s="40"/>
      <c r="Z12" s="1"/>
      <c r="AA12" s="1"/>
      <c r="AB12" s="1"/>
      <c r="AC12" s="1"/>
      <c r="AD12" s="1"/>
    </row>
    <row r="13" spans="1:30" ht="15.6">
      <c r="A13" s="1"/>
      <c r="B13" s="1"/>
      <c r="C13" s="1"/>
      <c r="D13" s="1"/>
      <c r="E13" s="1"/>
      <c r="F13" s="39"/>
      <c r="G13" s="76"/>
      <c r="H13" s="76"/>
      <c r="I13" s="76"/>
      <c r="J13" s="76"/>
      <c r="K13" s="76"/>
      <c r="L13" s="76"/>
      <c r="M13" s="76"/>
      <c r="N13" s="99" t="s">
        <v>79</v>
      </c>
      <c r="O13" s="100">
        <v>6.0858282150005001E-2</v>
      </c>
      <c r="P13" s="100">
        <v>2.4742360231491935E-2</v>
      </c>
      <c r="Q13" s="100">
        <v>2.4028411775546418E-2</v>
      </c>
      <c r="R13" s="100">
        <v>2.417941475590157E-2</v>
      </c>
      <c r="S13" s="100">
        <v>2.3441066699365184E-2</v>
      </c>
      <c r="T13" s="100">
        <v>2.392790819077292E-2</v>
      </c>
      <c r="U13" s="100">
        <v>2.4183640208279261E-2</v>
      </c>
      <c r="V13" s="100">
        <v>2.3934943957303969E-2</v>
      </c>
      <c r="W13" s="100">
        <v>2.3691257516527342E-2</v>
      </c>
      <c r="X13" s="100">
        <v>2.4396901813892851E-2</v>
      </c>
      <c r="Y13" s="40"/>
      <c r="Z13" s="1"/>
      <c r="AA13" s="1"/>
      <c r="AB13" s="1"/>
      <c r="AC13" s="1"/>
      <c r="AD13" s="1"/>
    </row>
    <row r="14" spans="1:30" ht="1.95" customHeight="1" thickBot="1">
      <c r="A14" s="1"/>
      <c r="B14" s="1"/>
      <c r="C14" s="1"/>
      <c r="D14" s="1"/>
      <c r="E14" s="1"/>
      <c r="F14" s="47"/>
      <c r="G14" s="48"/>
      <c r="H14" s="48"/>
      <c r="I14" s="48"/>
      <c r="J14" s="48"/>
      <c r="K14" s="48"/>
      <c r="L14" s="48"/>
      <c r="M14" s="48"/>
      <c r="N14" s="48"/>
      <c r="O14" s="48"/>
      <c r="P14" s="48"/>
      <c r="Q14" s="48"/>
      <c r="R14" s="48"/>
      <c r="S14" s="48"/>
      <c r="T14" s="48"/>
      <c r="U14" s="48"/>
      <c r="V14" s="48"/>
      <c r="W14" s="48"/>
      <c r="X14" s="48"/>
      <c r="Y14" s="49"/>
      <c r="Z14" s="1"/>
      <c r="AA14" s="1"/>
      <c r="AB14" s="1"/>
      <c r="AC14" s="1"/>
      <c r="AD14" s="1"/>
    </row>
    <row r="15" spans="1:30" ht="15" thickBot="1">
      <c r="A15" s="1"/>
      <c r="B15" s="1"/>
      <c r="C15" s="1"/>
      <c r="D15" s="1"/>
      <c r="E15" s="1"/>
      <c r="F15" s="50"/>
      <c r="G15" s="50"/>
      <c r="H15" s="50"/>
      <c r="I15" s="50"/>
      <c r="J15" s="50"/>
      <c r="K15" s="50"/>
      <c r="L15" s="50"/>
      <c r="M15" s="50"/>
      <c r="N15" s="50"/>
      <c r="O15" s="50"/>
      <c r="P15" s="50"/>
      <c r="Q15" s="50"/>
      <c r="R15" s="50"/>
      <c r="S15" s="50"/>
      <c r="T15" s="50"/>
      <c r="U15" s="50"/>
      <c r="V15" s="50"/>
      <c r="W15" s="50"/>
      <c r="X15" s="50"/>
      <c r="Y15" s="50"/>
      <c r="Z15" s="1"/>
      <c r="AA15" s="1"/>
      <c r="AB15" s="1"/>
      <c r="AC15" s="1"/>
      <c r="AD15" s="1"/>
    </row>
    <row r="16" spans="1:30" ht="18" customHeight="1" thickBot="1">
      <c r="A16" s="1"/>
      <c r="B16" s="1"/>
      <c r="C16" s="1"/>
      <c r="D16" s="1"/>
      <c r="E16" s="1"/>
      <c r="F16" s="50"/>
      <c r="G16" s="119" t="s">
        <v>53</v>
      </c>
      <c r="H16" s="120"/>
      <c r="I16" s="120"/>
      <c r="J16" s="120"/>
      <c r="K16" s="51">
        <f>SUM(M41:N41)*-1</f>
        <v>158.74192000000016</v>
      </c>
      <c r="L16" s="52" t="s">
        <v>45</v>
      </c>
      <c r="M16" s="53">
        <f>L111*-1</f>
        <v>245.67000000000053</v>
      </c>
      <c r="N16" s="54" t="str">
        <f>"billion BA)"</f>
        <v>billion BA)</v>
      </c>
      <c r="O16" s="55"/>
      <c r="P16" s="50"/>
      <c r="Q16" s="122" t="s">
        <v>52</v>
      </c>
      <c r="R16" s="123"/>
      <c r="S16" s="123"/>
      <c r="T16" s="123"/>
      <c r="U16" s="123"/>
      <c r="V16" s="123"/>
      <c r="W16" s="123"/>
      <c r="X16" s="124"/>
      <c r="Y16" s="50"/>
      <c r="Z16" s="1"/>
      <c r="AA16" s="1"/>
      <c r="AB16" s="1"/>
      <c r="AC16" s="1"/>
      <c r="AD16" s="1"/>
    </row>
    <row r="17" spans="1:30" ht="18.75" customHeight="1" thickBot="1">
      <c r="A17" s="1"/>
      <c r="B17" s="1"/>
      <c r="C17" s="1"/>
      <c r="D17" s="1"/>
      <c r="E17" s="1"/>
      <c r="F17" s="50"/>
      <c r="G17" s="56"/>
      <c r="H17" s="56"/>
      <c r="I17" s="56"/>
      <c r="J17" s="56"/>
      <c r="K17" s="57"/>
      <c r="L17" s="57"/>
      <c r="M17" s="57"/>
      <c r="N17" s="57"/>
      <c r="O17" s="57"/>
      <c r="P17" s="50"/>
      <c r="Q17" s="58" t="str">
        <f>IF(W45&lt;0,"- Reduce debt by "&amp;(TEXT(ABS(W45/1000),"$0.0")&amp;" trillion with interest through 2033"),"- Increase debt by "&amp;(TEXT(ABS(W45/1000),"$0.0")&amp;" trillion with interest through 2033"))</f>
        <v>- Reduce debt by $1.5 trillion with interest through 2033</v>
      </c>
      <c r="R17" s="59"/>
      <c r="S17" s="59"/>
      <c r="T17" s="59"/>
      <c r="U17" s="59"/>
      <c r="V17" s="59"/>
      <c r="W17" s="59"/>
      <c r="X17" s="40"/>
      <c r="Y17" s="50"/>
      <c r="Z17" s="1"/>
      <c r="AA17" s="1"/>
      <c r="AB17" s="1"/>
      <c r="AC17" s="1"/>
      <c r="AD17" s="1"/>
    </row>
    <row r="18" spans="1:30" ht="18.600000000000001" thickBot="1">
      <c r="A18" s="1"/>
      <c r="B18" s="1"/>
      <c r="C18" s="1"/>
      <c r="D18" s="1"/>
      <c r="E18" s="1"/>
      <c r="F18" s="50"/>
      <c r="G18" s="119" t="s">
        <v>54</v>
      </c>
      <c r="H18" s="120"/>
      <c r="I18" s="120"/>
      <c r="J18" s="120"/>
      <c r="K18" s="60">
        <f>(W41/1000)*-1</f>
        <v>1.2987339357569352</v>
      </c>
      <c r="L18" s="52" t="s">
        <v>46</v>
      </c>
      <c r="M18" s="61">
        <f>(L110/1000)*-1</f>
        <v>1.4569289613069887</v>
      </c>
      <c r="N18" s="62" t="str">
        <f>"trillion BA)"</f>
        <v>trillion BA)</v>
      </c>
      <c r="O18" s="63"/>
      <c r="P18" s="50"/>
      <c r="Q18" s="58" t="str">
        <f>IF(L101&lt;0,"- Reduce debt by "&amp;(TEXT(ABS(L101),"0.0")&amp;" percent of GDP by 2033 from baseline"),"- Increase debt by "&amp;(TEXT(ABS(L101),"0.0")&amp;" percent of GDP by 2033 from baseline"))</f>
        <v>- Reduce debt by 3.8 percent of GDP by 2033 from baseline</v>
      </c>
      <c r="R18" s="64"/>
      <c r="S18" s="64"/>
      <c r="T18" s="64"/>
      <c r="U18" s="64"/>
      <c r="V18" s="64"/>
      <c r="W18" s="64"/>
      <c r="X18" s="40"/>
      <c r="Y18" s="50"/>
      <c r="Z18" s="1"/>
      <c r="AA18" s="1"/>
      <c r="AB18" s="1"/>
      <c r="AC18" s="1"/>
      <c r="AD18" s="1"/>
    </row>
    <row r="19" spans="1:30" ht="18.75" customHeight="1" thickBot="1">
      <c r="A19" s="1"/>
      <c r="B19" s="1"/>
      <c r="C19" s="1"/>
      <c r="D19" s="1"/>
      <c r="E19" s="1"/>
      <c r="F19" s="50"/>
      <c r="G19" s="56"/>
      <c r="H19" s="56"/>
      <c r="I19" s="56"/>
      <c r="J19" s="56"/>
      <c r="K19" s="103"/>
      <c r="L19" s="57"/>
      <c r="M19" s="57"/>
      <c r="N19" s="57"/>
      <c r="O19" s="57"/>
      <c r="P19" s="50"/>
      <c r="Q19" s="58" t="str">
        <f>IF(W41&lt;0,"- Lower discretionary spending "&amp;(TEXT(ABS((W41/L107)*100),"0.0")&amp;" percent from the current baseline"),"- Increase discretionary spending "&amp;(TEXT(ABS((W41/L107)*100),"0.0")&amp;" percent from the current baseline"))</f>
        <v>- Lower discretionary spending 7.4 percent from the current baseline</v>
      </c>
      <c r="R19" s="64"/>
      <c r="S19" s="64"/>
      <c r="T19" s="64"/>
      <c r="U19" s="64"/>
      <c r="V19" s="64"/>
      <c r="W19" s="64"/>
      <c r="X19" s="40"/>
      <c r="Y19" s="50"/>
      <c r="Z19" s="1"/>
      <c r="AA19" s="1"/>
      <c r="AB19" s="1"/>
      <c r="AC19" s="1"/>
      <c r="AD19" s="1"/>
    </row>
    <row r="20" spans="1:30" ht="18" customHeight="1" thickBot="1">
      <c r="A20" s="1"/>
      <c r="B20" s="1"/>
      <c r="C20" s="1"/>
      <c r="D20" s="1"/>
      <c r="E20" s="1"/>
      <c r="F20" s="50"/>
      <c r="G20" s="119" t="s">
        <v>88</v>
      </c>
      <c r="H20" s="120"/>
      <c r="I20" s="120"/>
      <c r="J20" s="120"/>
      <c r="K20" s="60">
        <f>(W45/1000)*-1</f>
        <v>1.4761129357569351</v>
      </c>
      <c r="L20" s="52" t="s">
        <v>51</v>
      </c>
      <c r="M20" s="52"/>
      <c r="N20" s="52"/>
      <c r="O20" s="65"/>
      <c r="P20" s="50"/>
      <c r="Q20" s="66" t="str">
        <f>IF((K118)&lt;0,"- Average appropriations would be "&amp;(TEXT(ABS(((K118/K117))*100),"0.0")&amp;" percent lower than 2022's level"),"- Average appropriations would be "&amp;(TEXT(ABS(((K118/K117))*100),"0.0")&amp;" percent above 2022's level"))</f>
        <v>- Average appropriations would be 19.0 percent above 2022's level</v>
      </c>
      <c r="R20" s="67"/>
      <c r="S20" s="67"/>
      <c r="T20" s="67"/>
      <c r="U20" s="67"/>
      <c r="V20" s="67"/>
      <c r="W20" s="67"/>
      <c r="X20" s="49"/>
      <c r="Y20" s="50"/>
      <c r="Z20" s="1"/>
      <c r="AA20" s="1"/>
      <c r="AB20" s="1"/>
      <c r="AC20" s="1"/>
      <c r="AD20" s="1"/>
    </row>
    <row r="21" spans="1:30" ht="18.75" customHeight="1" thickBot="1">
      <c r="A21" s="1"/>
      <c r="B21" s="1"/>
      <c r="C21" s="1"/>
      <c r="D21" s="1"/>
      <c r="E21" s="1"/>
      <c r="F21" s="50"/>
      <c r="G21" s="50"/>
      <c r="H21" s="50"/>
      <c r="I21" s="50"/>
      <c r="J21" s="50"/>
      <c r="K21" s="50"/>
      <c r="L21" s="50"/>
      <c r="M21" s="50"/>
      <c r="N21" s="50"/>
      <c r="O21" s="50"/>
      <c r="P21" s="50"/>
      <c r="Q21" s="50"/>
      <c r="R21" s="50"/>
      <c r="S21" s="50"/>
      <c r="T21" s="50"/>
      <c r="U21" s="50"/>
      <c r="V21" s="50"/>
      <c r="W21" s="50"/>
      <c r="X21" s="50"/>
      <c r="Y21" s="50"/>
      <c r="Z21" s="1"/>
      <c r="AA21" s="1"/>
      <c r="AB21" s="1"/>
      <c r="AC21" s="1"/>
      <c r="AD21" s="1"/>
    </row>
    <row r="22" spans="1:30" ht="18.75" customHeight="1">
      <c r="A22" s="1"/>
      <c r="B22" s="1"/>
      <c r="C22" s="1"/>
      <c r="D22" s="1"/>
      <c r="E22" s="1"/>
      <c r="F22" s="50"/>
      <c r="G22" s="129" t="str">
        <f>HYPERLINK(L137,"Click Here to Tweet Your Results")</f>
        <v>Click Here to Tweet Your Results</v>
      </c>
      <c r="H22" s="130"/>
      <c r="I22" s="50"/>
      <c r="J22" s="68" t="s">
        <v>47</v>
      </c>
      <c r="K22" s="69"/>
      <c r="L22" s="69"/>
      <c r="M22" s="69"/>
      <c r="N22" s="70">
        <v>2024</v>
      </c>
      <c r="O22" s="70">
        <v>2025</v>
      </c>
      <c r="P22" s="70">
        <v>2026</v>
      </c>
      <c r="Q22" s="70">
        <v>2027</v>
      </c>
      <c r="R22" s="70">
        <v>2028</v>
      </c>
      <c r="S22" s="70">
        <v>2029</v>
      </c>
      <c r="T22" s="70">
        <v>2030</v>
      </c>
      <c r="U22" s="70">
        <v>2031</v>
      </c>
      <c r="V22" s="70">
        <v>2032</v>
      </c>
      <c r="W22" s="70">
        <v>2033</v>
      </c>
      <c r="X22" s="71"/>
      <c r="Y22" s="50"/>
      <c r="Z22" s="1"/>
      <c r="AA22" s="1"/>
      <c r="AB22" s="1"/>
      <c r="AC22" s="1"/>
      <c r="AD22" s="1"/>
    </row>
    <row r="23" spans="1:30" ht="18.75" customHeight="1">
      <c r="A23" s="1"/>
      <c r="B23" s="1"/>
      <c r="C23" s="1"/>
      <c r="D23" s="1"/>
      <c r="E23" s="1"/>
      <c r="F23" s="50"/>
      <c r="G23" s="131"/>
      <c r="H23" s="132"/>
      <c r="I23" s="50"/>
      <c r="J23" s="72"/>
      <c r="K23" s="121" t="s">
        <v>1</v>
      </c>
      <c r="L23" s="121"/>
      <c r="M23" s="121"/>
      <c r="N23" s="73">
        <f t="shared" ref="N23:W23" si="3">(M36-M37)*-1</f>
        <v>109.75700000000006</v>
      </c>
      <c r="O23" s="73">
        <f>(N36-N37)*-1</f>
        <v>135.91300000000024</v>
      </c>
      <c r="P23" s="73">
        <f t="shared" si="3"/>
        <v>139.17877352965024</v>
      </c>
      <c r="Q23" s="73">
        <f t="shared" si="3"/>
        <v>142.54403482004136</v>
      </c>
      <c r="R23" s="73">
        <f t="shared" si="3"/>
        <v>145.88541904785461</v>
      </c>
      <c r="S23" s="73">
        <f t="shared" si="3"/>
        <v>149.37615196120396</v>
      </c>
      <c r="T23" s="73">
        <f t="shared" si="3"/>
        <v>152.98861107593098</v>
      </c>
      <c r="U23" s="73">
        <f t="shared" si="3"/>
        <v>156.65038490813913</v>
      </c>
      <c r="V23" s="73">
        <f t="shared" si="3"/>
        <v>160.36162951706092</v>
      </c>
      <c r="W23" s="73">
        <f t="shared" si="3"/>
        <v>164.27395644710464</v>
      </c>
      <c r="X23" s="40"/>
      <c r="Y23" s="50"/>
      <c r="Z23" s="1"/>
      <c r="AA23" s="1"/>
      <c r="AB23" s="1"/>
      <c r="AC23" s="1"/>
      <c r="AD23" s="1"/>
    </row>
    <row r="24" spans="1:30" ht="18" customHeight="1">
      <c r="A24" s="1"/>
      <c r="B24" s="1"/>
      <c r="C24" s="1"/>
      <c r="D24" s="1"/>
      <c r="E24" s="1"/>
      <c r="F24" s="50"/>
      <c r="G24" s="131"/>
      <c r="H24" s="132"/>
      <c r="I24" s="50"/>
      <c r="J24" s="72"/>
      <c r="K24" s="121" t="s">
        <v>2</v>
      </c>
      <c r="L24" s="121"/>
      <c r="M24" s="121"/>
      <c r="N24" s="73">
        <f t="shared" ref="N24:W24" si="4">M41*-1</f>
        <v>58.171210000000201</v>
      </c>
      <c r="O24" s="73">
        <f t="shared" si="4"/>
        <v>100.57070999999996</v>
      </c>
      <c r="P24" s="73">
        <f t="shared" si="4"/>
        <v>120.07782997071467</v>
      </c>
      <c r="Q24" s="73">
        <f t="shared" si="4"/>
        <v>130.81396957233096</v>
      </c>
      <c r="R24" s="73">
        <f t="shared" si="4"/>
        <v>137.28938850153872</v>
      </c>
      <c r="S24" s="73">
        <f t="shared" si="4"/>
        <v>142.12874165036692</v>
      </c>
      <c r="T24" s="73">
        <f t="shared" si="4"/>
        <v>146.87778249653707</v>
      </c>
      <c r="U24" s="73">
        <f t="shared" si="4"/>
        <v>150.63542746126609</v>
      </c>
      <c r="V24" s="73">
        <f t="shared" si="4"/>
        <v>154.22336889026587</v>
      </c>
      <c r="W24" s="73">
        <f t="shared" si="4"/>
        <v>157.94550721391465</v>
      </c>
      <c r="X24" s="40"/>
      <c r="Y24" s="50"/>
      <c r="Z24" s="1"/>
      <c r="AA24" s="1"/>
      <c r="AB24" s="1"/>
      <c r="AC24" s="1"/>
      <c r="AD24" s="1"/>
    </row>
    <row r="25" spans="1:30" ht="16.2" thickBot="1">
      <c r="A25" s="1"/>
      <c r="B25" s="1"/>
      <c r="C25" s="1"/>
      <c r="D25" s="1"/>
      <c r="E25" s="1"/>
      <c r="F25" s="50"/>
      <c r="G25" s="133"/>
      <c r="H25" s="134"/>
      <c r="I25" s="50"/>
      <c r="J25" s="74"/>
      <c r="K25" s="48"/>
      <c r="L25" s="48"/>
      <c r="M25" s="48"/>
      <c r="N25" s="48"/>
      <c r="O25" s="48"/>
      <c r="P25" s="48"/>
      <c r="Q25" s="48"/>
      <c r="R25" s="48"/>
      <c r="S25" s="48"/>
      <c r="T25" s="48"/>
      <c r="U25" s="48"/>
      <c r="V25" s="48"/>
      <c r="W25" s="48"/>
      <c r="X25" s="49"/>
      <c r="Y25" s="50"/>
      <c r="Z25" s="1"/>
      <c r="AA25" s="1"/>
      <c r="AB25" s="1"/>
      <c r="AC25" s="1"/>
      <c r="AD25" s="1"/>
    </row>
    <row r="26" spans="1:30">
      <c r="A26" s="1"/>
      <c r="B26" s="1"/>
      <c r="C26" s="1"/>
      <c r="D26" s="1"/>
      <c r="E26" s="1"/>
      <c r="F26" s="118" t="s">
        <v>60</v>
      </c>
      <c r="G26" s="118"/>
      <c r="H26" s="118"/>
      <c r="I26" s="118"/>
      <c r="J26" s="118"/>
      <c r="K26" s="117" t="s">
        <v>61</v>
      </c>
      <c r="L26" s="117"/>
      <c r="M26" s="117"/>
      <c r="N26" s="117"/>
      <c r="O26" s="1"/>
      <c r="P26" s="1"/>
      <c r="Q26" s="1"/>
      <c r="R26" s="1"/>
      <c r="S26" s="1"/>
      <c r="T26" s="1"/>
      <c r="U26" s="1"/>
      <c r="V26" s="1"/>
      <c r="W26" s="1"/>
      <c r="X26" s="1"/>
      <c r="Y26" s="1"/>
      <c r="Z26" s="1"/>
      <c r="AA26" s="1"/>
      <c r="AB26" s="1"/>
      <c r="AC26" s="1"/>
      <c r="AD26" s="1"/>
    </row>
    <row r="27" spans="1:30" ht="14.4" customHeight="1">
      <c r="A27" s="1"/>
      <c r="B27" s="1"/>
      <c r="C27" s="1"/>
      <c r="D27" s="1"/>
      <c r="E27" s="1"/>
      <c r="F27" s="1"/>
      <c r="G27" s="1"/>
      <c r="H27" s="1"/>
      <c r="I27" s="1"/>
      <c r="J27" s="1"/>
      <c r="K27" s="1"/>
      <c r="L27" s="1"/>
      <c r="M27" s="1"/>
      <c r="N27" s="1"/>
      <c r="O27" s="1"/>
      <c r="P27" s="1"/>
      <c r="Q27" s="1"/>
      <c r="R27" s="1"/>
      <c r="S27" s="1"/>
      <c r="T27" s="1"/>
      <c r="U27" s="1"/>
      <c r="V27" s="1"/>
      <c r="W27" s="1"/>
      <c r="X27" s="1"/>
      <c r="Y27" s="35"/>
      <c r="Z27" s="1"/>
      <c r="AA27" s="1"/>
      <c r="AB27" s="1"/>
      <c r="AC27" s="1"/>
      <c r="AD27" s="1"/>
    </row>
    <row r="28" spans="1:30" ht="14.4" customHeight="1">
      <c r="A28" s="1"/>
      <c r="B28" s="1"/>
      <c r="C28" s="1"/>
      <c r="D28" s="1"/>
      <c r="E28" s="1"/>
      <c r="F28" s="1"/>
      <c r="G28" s="116" t="s">
        <v>128</v>
      </c>
      <c r="H28" s="116"/>
      <c r="I28" s="116"/>
      <c r="J28" s="116"/>
      <c r="K28" s="116"/>
      <c r="L28" s="116"/>
      <c r="M28" s="116"/>
      <c r="N28" s="116"/>
      <c r="O28" s="116"/>
      <c r="P28" s="116"/>
      <c r="Q28" s="116"/>
      <c r="R28" s="116"/>
      <c r="S28" s="116"/>
      <c r="T28" s="116"/>
      <c r="U28" s="116"/>
      <c r="V28" s="116"/>
      <c r="W28" s="116"/>
      <c r="X28" s="116"/>
      <c r="Y28" s="1"/>
      <c r="Z28" s="1"/>
      <c r="AA28" s="1"/>
      <c r="AB28" s="1"/>
      <c r="AC28" s="1"/>
      <c r="AD28" s="1"/>
    </row>
    <row r="29" spans="1:30" ht="15" customHeight="1">
      <c r="A29" s="1"/>
      <c r="B29" s="1"/>
      <c r="C29" s="1"/>
      <c r="D29" s="1"/>
      <c r="E29" s="1"/>
      <c r="F29" s="1"/>
      <c r="G29" s="116"/>
      <c r="H29" s="116"/>
      <c r="I29" s="116"/>
      <c r="J29" s="116"/>
      <c r="K29" s="116"/>
      <c r="L29" s="116"/>
      <c r="M29" s="116"/>
      <c r="N29" s="116"/>
      <c r="O29" s="116"/>
      <c r="P29" s="116"/>
      <c r="Q29" s="116"/>
      <c r="R29" s="116"/>
      <c r="S29" s="116"/>
      <c r="T29" s="116"/>
      <c r="U29" s="116"/>
      <c r="V29" s="116"/>
      <c r="W29" s="116"/>
      <c r="X29" s="116"/>
      <c r="Y29" s="1"/>
      <c r="Z29" s="1"/>
      <c r="AA29" s="1"/>
      <c r="AB29" s="1"/>
      <c r="AC29" s="1"/>
      <c r="AD29" s="1"/>
    </row>
    <row r="30" spans="1:30" ht="15" customHeight="1">
      <c r="A30" s="1"/>
      <c r="B30" s="1"/>
      <c r="C30" s="1"/>
      <c r="D30" s="1"/>
      <c r="E30" s="1"/>
      <c r="F30" s="1"/>
      <c r="G30" s="116" t="s">
        <v>116</v>
      </c>
      <c r="H30" s="116"/>
      <c r="I30" s="116"/>
      <c r="J30" s="116"/>
      <c r="K30" s="116"/>
      <c r="L30" s="116"/>
      <c r="M30" s="116"/>
      <c r="N30" s="116"/>
      <c r="O30" s="116"/>
      <c r="P30" s="116"/>
      <c r="Q30" s="116"/>
      <c r="R30" s="116"/>
      <c r="S30" s="116"/>
      <c r="T30" s="116"/>
      <c r="U30" s="116"/>
      <c r="V30" s="116"/>
      <c r="W30" s="116"/>
      <c r="X30" s="116"/>
      <c r="Y30" s="1"/>
      <c r="Z30" s="1"/>
      <c r="AA30" s="1"/>
      <c r="AB30" s="1"/>
      <c r="AC30" s="1"/>
      <c r="AD30" s="1"/>
    </row>
    <row r="31" spans="1:30" ht="15" customHeight="1">
      <c r="A31" s="1"/>
      <c r="B31" s="1"/>
      <c r="C31" s="1"/>
      <c r="D31" s="1"/>
      <c r="E31" s="1"/>
      <c r="F31" s="1"/>
      <c r="G31" s="116"/>
      <c r="H31" s="116"/>
      <c r="I31" s="116"/>
      <c r="J31" s="116"/>
      <c r="K31" s="116"/>
      <c r="L31" s="116"/>
      <c r="M31" s="116"/>
      <c r="N31" s="116"/>
      <c r="O31" s="116"/>
      <c r="P31" s="116"/>
      <c r="Q31" s="116"/>
      <c r="R31" s="116"/>
      <c r="S31" s="116"/>
      <c r="T31" s="116"/>
      <c r="U31" s="116"/>
      <c r="V31" s="116"/>
      <c r="W31" s="116"/>
      <c r="X31" s="116"/>
      <c r="Y31" s="1"/>
      <c r="Z31" s="1"/>
      <c r="AA31" s="1"/>
      <c r="AB31" s="1"/>
      <c r="AC31" s="1"/>
      <c r="AD31" s="1"/>
    </row>
    <row r="32" spans="1:30" ht="14.4" customHeight="1">
      <c r="A32" s="1"/>
      <c r="B32" s="1"/>
      <c r="C32" s="1"/>
      <c r="D32" s="1"/>
      <c r="E32" s="1"/>
      <c r="F32" s="1"/>
      <c r="G32" s="116"/>
      <c r="H32" s="116"/>
      <c r="I32" s="116"/>
      <c r="J32" s="116"/>
      <c r="K32" s="116"/>
      <c r="L32" s="116"/>
      <c r="M32" s="116"/>
      <c r="N32" s="116"/>
      <c r="O32" s="116"/>
      <c r="P32" s="116"/>
      <c r="Q32" s="116"/>
      <c r="R32" s="116"/>
      <c r="S32" s="116"/>
      <c r="T32" s="116"/>
      <c r="U32" s="116"/>
      <c r="V32" s="116"/>
      <c r="W32" s="116"/>
      <c r="X32" s="116"/>
      <c r="Y32" s="1"/>
      <c r="Z32" s="1"/>
      <c r="AA32" s="1"/>
      <c r="AB32" s="1"/>
      <c r="AC32" s="1"/>
      <c r="AD32" s="1"/>
    </row>
    <row r="33" spans="1:30">
      <c r="A33" s="1"/>
      <c r="B33" s="1"/>
      <c r="C33" s="1"/>
      <c r="D33" s="1"/>
      <c r="E33" s="1"/>
      <c r="F33" s="1"/>
      <c r="G33" s="116"/>
      <c r="H33" s="116"/>
      <c r="I33" s="116"/>
      <c r="J33" s="116"/>
      <c r="K33" s="116"/>
      <c r="L33" s="116"/>
      <c r="M33" s="116"/>
      <c r="N33" s="116"/>
      <c r="O33" s="116"/>
      <c r="P33" s="116"/>
      <c r="Q33" s="116"/>
      <c r="R33" s="116"/>
      <c r="S33" s="116"/>
      <c r="T33" s="116"/>
      <c r="U33" s="116"/>
      <c r="V33" s="116"/>
      <c r="W33" s="116"/>
      <c r="X33" s="116"/>
      <c r="Y33" s="1"/>
      <c r="Z33" s="1"/>
      <c r="AA33" s="1"/>
      <c r="AB33" s="1"/>
      <c r="AC33" s="1"/>
      <c r="AD33" s="1"/>
    </row>
    <row r="35" spans="1:30" hidden="1">
      <c r="J35" s="17" t="s">
        <v>3</v>
      </c>
      <c r="K35">
        <v>2022</v>
      </c>
      <c r="L35">
        <v>2023</v>
      </c>
      <c r="M35">
        <v>2024</v>
      </c>
      <c r="N35">
        <v>2025</v>
      </c>
      <c r="O35">
        <v>2026</v>
      </c>
      <c r="P35">
        <v>2027</v>
      </c>
      <c r="Q35">
        <v>2028</v>
      </c>
      <c r="R35">
        <v>2029</v>
      </c>
      <c r="S35">
        <v>2030</v>
      </c>
      <c r="T35">
        <v>2031</v>
      </c>
      <c r="U35">
        <v>2032</v>
      </c>
      <c r="V35">
        <v>2033</v>
      </c>
    </row>
    <row r="36" spans="1:30" hidden="1">
      <c r="J36" s="16" t="s">
        <v>4</v>
      </c>
      <c r="K36" s="3">
        <f>M10</f>
        <v>1470.979</v>
      </c>
      <c r="L36" s="3">
        <f>N10</f>
        <v>1602.2470000000001</v>
      </c>
      <c r="M36" s="3">
        <f>O10</f>
        <v>1590</v>
      </c>
      <c r="N36" s="4">
        <f>P10</f>
        <v>1605.9</v>
      </c>
      <c r="O36" s="4">
        <f t="shared" ref="O36:U36" si="5">Q10</f>
        <v>1644.4872264703502</v>
      </c>
      <c r="P36" s="4">
        <f t="shared" si="5"/>
        <v>1684.249965179959</v>
      </c>
      <c r="Q36" s="4">
        <f t="shared" si="5"/>
        <v>1723.7305809521458</v>
      </c>
      <c r="R36" s="4">
        <f t="shared" si="5"/>
        <v>1764.9758480387964</v>
      </c>
      <c r="S36" s="4">
        <f t="shared" si="5"/>
        <v>1807.6593889240694</v>
      </c>
      <c r="T36" s="4">
        <f t="shared" si="5"/>
        <v>1850.9256150918613</v>
      </c>
      <c r="U36" s="4">
        <f t="shared" si="5"/>
        <v>1894.7763704829395</v>
      </c>
      <c r="V36" s="4">
        <f>X10</f>
        <v>1941.0030435528959</v>
      </c>
      <c r="W36" s="3"/>
      <c r="X36" s="3"/>
    </row>
    <row r="37" spans="1:30" hidden="1">
      <c r="J37" s="16" t="s">
        <v>5</v>
      </c>
      <c r="K37" s="3">
        <v>1470.979</v>
      </c>
      <c r="L37" s="3">
        <v>1602.2470000000001</v>
      </c>
      <c r="M37" s="3">
        <v>1699.7570000000001</v>
      </c>
      <c r="N37" s="3">
        <v>1741.8130000000003</v>
      </c>
      <c r="O37" s="3">
        <v>1783.6660000000004</v>
      </c>
      <c r="P37" s="3">
        <v>1826.7940000000003</v>
      </c>
      <c r="Q37" s="3">
        <v>1869.6160000000004</v>
      </c>
      <c r="R37" s="3">
        <v>1914.3520000000003</v>
      </c>
      <c r="S37" s="3">
        <v>1960.6480000000004</v>
      </c>
      <c r="T37" s="3">
        <v>2007.5760000000005</v>
      </c>
      <c r="U37" s="3">
        <v>2055.1380000000004</v>
      </c>
      <c r="V37" s="3">
        <v>2105.2770000000005</v>
      </c>
      <c r="W37" s="3"/>
    </row>
    <row r="38" spans="1:30" hidden="1">
      <c r="J38" s="16"/>
    </row>
    <row r="39" spans="1:30" hidden="1">
      <c r="J39" s="16" t="s">
        <v>6</v>
      </c>
      <c r="K39" s="4"/>
      <c r="L39" s="4">
        <f>L64</f>
        <v>849.19091000000003</v>
      </c>
      <c r="M39" s="4">
        <f>M64</f>
        <v>1259.28422</v>
      </c>
      <c r="N39" s="4">
        <f>N64</f>
        <v>1424.7517000000003</v>
      </c>
      <c r="O39" s="4">
        <f t="shared" ref="O39:V39" si="6">O64</f>
        <v>1528.2245800292856</v>
      </c>
      <c r="P39" s="4">
        <f t="shared" si="6"/>
        <v>1592.3541004276694</v>
      </c>
      <c r="Q39" s="4">
        <f t="shared" si="6"/>
        <v>1644.0483914984618</v>
      </c>
      <c r="R39" s="4">
        <f t="shared" si="6"/>
        <v>1698.2969783496335</v>
      </c>
      <c r="S39" s="4">
        <f t="shared" si="6"/>
        <v>1738.3874975034635</v>
      </c>
      <c r="T39" s="4">
        <f t="shared" si="6"/>
        <v>1779.8550025387344</v>
      </c>
      <c r="U39" s="4">
        <f t="shared" si="6"/>
        <v>1822.2488511097347</v>
      </c>
      <c r="V39" s="4">
        <f t="shared" si="6"/>
        <v>1866.2283227860858</v>
      </c>
    </row>
    <row r="40" spans="1:30" hidden="1">
      <c r="J40" s="16" t="s">
        <v>7</v>
      </c>
      <c r="K40" s="4"/>
      <c r="L40" s="4">
        <v>849.19091000000003</v>
      </c>
      <c r="M40" s="4">
        <v>1317.4554300000002</v>
      </c>
      <c r="N40" s="4">
        <v>1525.3224100000002</v>
      </c>
      <c r="O40" s="4">
        <v>1648.3024100000002</v>
      </c>
      <c r="P40" s="4">
        <v>1723.1680700000004</v>
      </c>
      <c r="Q40" s="4">
        <v>1781.3377800000005</v>
      </c>
      <c r="R40" s="4">
        <v>1840.4257200000004</v>
      </c>
      <c r="S40" s="4">
        <v>1885.2652800000005</v>
      </c>
      <c r="T40" s="4">
        <v>1930.4904300000005</v>
      </c>
      <c r="U40" s="4">
        <v>1976.4722200000006</v>
      </c>
      <c r="V40" s="4">
        <v>2024.1738300000004</v>
      </c>
    </row>
    <row r="41" spans="1:30" hidden="1">
      <c r="J41" s="16" t="s">
        <v>8</v>
      </c>
      <c r="M41" s="4">
        <f>M39-M40</f>
        <v>-58.171210000000201</v>
      </c>
      <c r="N41" s="4">
        <f t="shared" ref="N41:V41" si="7">N39-N40</f>
        <v>-100.57070999999996</v>
      </c>
      <c r="O41" s="4">
        <f t="shared" si="7"/>
        <v>-120.07782997071467</v>
      </c>
      <c r="P41" s="4">
        <f t="shared" si="7"/>
        <v>-130.81396957233096</v>
      </c>
      <c r="Q41" s="4">
        <f t="shared" si="7"/>
        <v>-137.28938850153872</v>
      </c>
      <c r="R41" s="4">
        <f t="shared" si="7"/>
        <v>-142.12874165036692</v>
      </c>
      <c r="S41" s="4">
        <f t="shared" si="7"/>
        <v>-146.87778249653707</v>
      </c>
      <c r="T41" s="4">
        <f t="shared" si="7"/>
        <v>-150.63542746126609</v>
      </c>
      <c r="U41" s="4">
        <f t="shared" si="7"/>
        <v>-154.22336889026587</v>
      </c>
      <c r="V41" s="4">
        <f t="shared" si="7"/>
        <v>-157.94550721391465</v>
      </c>
      <c r="W41" s="4">
        <f>SUM(M41:V41)</f>
        <v>-1298.7339357569351</v>
      </c>
    </row>
    <row r="42" spans="1:30" hidden="1">
      <c r="J42" s="16"/>
    </row>
    <row r="43" spans="1:30" hidden="1">
      <c r="J43" s="16" t="s">
        <v>9</v>
      </c>
      <c r="M43" s="4">
        <f>M81</f>
        <v>-0.65700000000000003</v>
      </c>
      <c r="N43" s="4">
        <f t="shared" ref="N43:V43" si="8">N81</f>
        <v>-3.2770000000000001</v>
      </c>
      <c r="O43" s="4">
        <f t="shared" si="8"/>
        <v>-6.4989999999999997</v>
      </c>
      <c r="P43" s="4">
        <f t="shared" si="8"/>
        <v>-10.074999999999999</v>
      </c>
      <c r="Q43" s="4">
        <f t="shared" si="8"/>
        <v>-14.246</v>
      </c>
      <c r="R43" s="4">
        <f t="shared" si="8"/>
        <v>-18.478000000000002</v>
      </c>
      <c r="S43" s="4">
        <f t="shared" si="8"/>
        <v>-23.36</v>
      </c>
      <c r="T43" s="4">
        <f t="shared" si="8"/>
        <v>-28.288</v>
      </c>
      <c r="U43" s="4">
        <f t="shared" si="8"/>
        <v>-33.46</v>
      </c>
      <c r="V43" s="4">
        <f t="shared" si="8"/>
        <v>-39.039000000000001</v>
      </c>
      <c r="W43" s="4">
        <f>SUM(M43:V43)</f>
        <v>-177.37900000000002</v>
      </c>
    </row>
    <row r="44" spans="1:30" hidden="1">
      <c r="J44" s="16"/>
    </row>
    <row r="45" spans="1:30" hidden="1">
      <c r="J45" s="16" t="s">
        <v>10</v>
      </c>
      <c r="M45" s="4">
        <f>M41+M43</f>
        <v>-58.828210000000198</v>
      </c>
      <c r="N45" s="4">
        <f t="shared" ref="N45:V45" si="9">N41+N43</f>
        <v>-103.84770999999996</v>
      </c>
      <c r="O45" s="4">
        <f t="shared" si="9"/>
        <v>-126.57682997071467</v>
      </c>
      <c r="P45" s="4">
        <f t="shared" si="9"/>
        <v>-140.88896957233095</v>
      </c>
      <c r="Q45" s="4">
        <f t="shared" si="9"/>
        <v>-151.53538850153873</v>
      </c>
      <c r="R45" s="4">
        <f t="shared" si="9"/>
        <v>-160.60674165036693</v>
      </c>
      <c r="S45" s="4">
        <f t="shared" si="9"/>
        <v>-170.23778249653708</v>
      </c>
      <c r="T45" s="4">
        <f t="shared" si="9"/>
        <v>-178.9234274612661</v>
      </c>
      <c r="U45" s="4">
        <f t="shared" si="9"/>
        <v>-187.68336889026588</v>
      </c>
      <c r="V45" s="4">
        <f t="shared" si="9"/>
        <v>-196.98450721391464</v>
      </c>
      <c r="W45" s="4">
        <f>SUM(M45:V45)</f>
        <v>-1476.112935756935</v>
      </c>
    </row>
    <row r="46" spans="1:30" hidden="1">
      <c r="J46" s="16"/>
    </row>
    <row r="47" spans="1:30" hidden="1">
      <c r="J47" s="17" t="s">
        <v>11</v>
      </c>
      <c r="K47" s="5" t="s">
        <v>12</v>
      </c>
      <c r="L47" s="6">
        <v>1</v>
      </c>
      <c r="M47" s="6">
        <v>2</v>
      </c>
      <c r="N47" s="6">
        <v>3</v>
      </c>
      <c r="O47" s="6">
        <v>4</v>
      </c>
      <c r="P47" s="6">
        <v>5</v>
      </c>
      <c r="Q47" s="6">
        <v>6</v>
      </c>
      <c r="R47" s="6">
        <v>7</v>
      </c>
      <c r="S47" s="6">
        <v>8</v>
      </c>
      <c r="T47" s="6">
        <v>9</v>
      </c>
      <c r="U47" s="6">
        <v>10</v>
      </c>
      <c r="V47" s="6">
        <v>11</v>
      </c>
    </row>
    <row r="48" spans="1:30" hidden="1">
      <c r="L48">
        <v>0.53</v>
      </c>
      <c r="M48">
        <v>0.26</v>
      </c>
      <c r="N48">
        <v>0.1</v>
      </c>
      <c r="O48">
        <v>0.05</v>
      </c>
      <c r="P48">
        <v>0.02</v>
      </c>
      <c r="Q48">
        <v>0.01</v>
      </c>
      <c r="R48">
        <v>0.01</v>
      </c>
      <c r="S48">
        <v>0</v>
      </c>
      <c r="T48">
        <v>0</v>
      </c>
      <c r="U48">
        <v>0</v>
      </c>
      <c r="V48">
        <v>0</v>
      </c>
    </row>
    <row r="49" spans="11:22" hidden="1">
      <c r="K49" s="5" t="s">
        <v>12</v>
      </c>
      <c r="L49" s="6">
        <v>2023</v>
      </c>
      <c r="M49" s="6">
        <v>2024</v>
      </c>
      <c r="N49" s="6">
        <v>2025</v>
      </c>
      <c r="O49" s="6">
        <v>2026</v>
      </c>
      <c r="P49" s="6">
        <v>2027</v>
      </c>
      <c r="Q49" s="6">
        <v>2028</v>
      </c>
      <c r="R49" s="6">
        <v>2029</v>
      </c>
      <c r="S49" s="6">
        <v>2030</v>
      </c>
      <c r="T49" s="6">
        <v>2031</v>
      </c>
      <c r="U49" s="6">
        <v>2032</v>
      </c>
      <c r="V49" s="6">
        <v>2033</v>
      </c>
    </row>
    <row r="50" spans="11:22" hidden="1">
      <c r="K50" s="5" t="s">
        <v>13</v>
      </c>
      <c r="L50" s="3">
        <f>L36</f>
        <v>1602.2470000000001</v>
      </c>
      <c r="M50" s="3">
        <f>M36</f>
        <v>1590</v>
      </c>
      <c r="N50" s="3">
        <f t="shared" ref="N50:O50" si="10">N36</f>
        <v>1605.9</v>
      </c>
      <c r="O50" s="3">
        <f t="shared" si="10"/>
        <v>1644.4872264703502</v>
      </c>
      <c r="P50" s="3">
        <f t="shared" ref="P50:V50" si="11">P36</f>
        <v>1684.249965179959</v>
      </c>
      <c r="Q50" s="3">
        <f t="shared" si="11"/>
        <v>1723.7305809521458</v>
      </c>
      <c r="R50" s="3">
        <f t="shared" si="11"/>
        <v>1764.9758480387964</v>
      </c>
      <c r="S50" s="3">
        <f t="shared" si="11"/>
        <v>1807.6593889240694</v>
      </c>
      <c r="T50" s="3">
        <f t="shared" si="11"/>
        <v>1850.9256150918613</v>
      </c>
      <c r="U50" s="3">
        <f t="shared" si="11"/>
        <v>1894.7763704829395</v>
      </c>
      <c r="V50" s="3">
        <f t="shared" si="11"/>
        <v>1941.0030435528959</v>
      </c>
    </row>
    <row r="53" spans="11:22" hidden="1">
      <c r="K53">
        <v>2022</v>
      </c>
      <c r="L53" s="4">
        <f>L48*L50</f>
        <v>849.19091000000003</v>
      </c>
      <c r="M53" s="4">
        <f>$L$50*$M$48</f>
        <v>416.58422000000002</v>
      </c>
      <c r="N53" s="4">
        <f>$L$50*$N$48</f>
        <v>160.22470000000001</v>
      </c>
      <c r="O53" s="4">
        <f>$L$50*$O$48</f>
        <v>80.112350000000006</v>
      </c>
      <c r="P53" s="4">
        <f>$L$50*$P$48</f>
        <v>32.044940000000004</v>
      </c>
      <c r="Q53" s="4">
        <f>$L$50*$Q$48</f>
        <v>16.022470000000002</v>
      </c>
      <c r="R53" s="4">
        <f>$L$50*$R$48</f>
        <v>16.022470000000002</v>
      </c>
      <c r="S53" s="4">
        <f>$L$50*$S$48</f>
        <v>0</v>
      </c>
      <c r="T53" s="4">
        <f>$L$50*$T$48</f>
        <v>0</v>
      </c>
      <c r="U53" s="4">
        <f>$L$50*$U$48</f>
        <v>0</v>
      </c>
      <c r="V53" s="4">
        <f>$L$50*$V$48</f>
        <v>0</v>
      </c>
    </row>
    <row r="54" spans="11:22" hidden="1">
      <c r="K54">
        <v>2023</v>
      </c>
      <c r="L54" s="4"/>
      <c r="M54" s="4">
        <f>$M$50*$L$48</f>
        <v>842.7</v>
      </c>
      <c r="N54" s="4">
        <f>$M$50*$M$48</f>
        <v>413.40000000000003</v>
      </c>
      <c r="O54" s="4">
        <f>$M$50*$N$48</f>
        <v>159</v>
      </c>
      <c r="P54" s="4">
        <f>$M$50*$O$48</f>
        <v>79.5</v>
      </c>
      <c r="Q54" s="4">
        <f>$M$50*$P$48</f>
        <v>31.8</v>
      </c>
      <c r="R54" s="4">
        <f>$M$50*$Q$48</f>
        <v>15.9</v>
      </c>
      <c r="S54" s="4">
        <f>$M$50*$R$48</f>
        <v>15.9</v>
      </c>
      <c r="T54" s="4">
        <f>$M$50*$S$48</f>
        <v>0</v>
      </c>
      <c r="U54" s="4">
        <f>$M$50*$T$48</f>
        <v>0</v>
      </c>
      <c r="V54" s="4">
        <f>$M$50*$U$48</f>
        <v>0</v>
      </c>
    </row>
    <row r="55" spans="11:22" hidden="1">
      <c r="K55">
        <v>2024</v>
      </c>
      <c r="L55" s="4"/>
      <c r="M55" s="4"/>
      <c r="N55" s="4">
        <f>$N$50*$L$48</f>
        <v>851.12700000000007</v>
      </c>
      <c r="O55" s="4">
        <f>$N$50*$M$48</f>
        <v>417.53400000000005</v>
      </c>
      <c r="P55" s="4">
        <f>$N$50*$N$48</f>
        <v>160.59000000000003</v>
      </c>
      <c r="Q55" s="4">
        <f>$N$50*$O$48</f>
        <v>80.295000000000016</v>
      </c>
      <c r="R55" s="4">
        <f>$N$50*$P$48</f>
        <v>32.118000000000002</v>
      </c>
      <c r="S55" s="4">
        <f>$N$50*$Q$48</f>
        <v>16.059000000000001</v>
      </c>
      <c r="T55" s="4">
        <f>$N$50*$R$48</f>
        <v>16.059000000000001</v>
      </c>
      <c r="U55" s="4">
        <f>$N$50*$S$48</f>
        <v>0</v>
      </c>
      <c r="V55" s="4">
        <f>$N$50*$T$48</f>
        <v>0</v>
      </c>
    </row>
    <row r="56" spans="11:22" hidden="1">
      <c r="K56">
        <v>2025</v>
      </c>
      <c r="L56" s="4"/>
      <c r="M56" s="4"/>
      <c r="N56" s="4"/>
      <c r="O56" s="4">
        <f>$O$50*$L$48</f>
        <v>871.57823002928558</v>
      </c>
      <c r="P56" s="4">
        <f>$O$50*$M$48</f>
        <v>427.56667888229106</v>
      </c>
      <c r="Q56" s="4">
        <f>$O$50*$N$48</f>
        <v>164.44872264703503</v>
      </c>
      <c r="R56" s="4">
        <f>$O$50*$O$48</f>
        <v>82.224361323517513</v>
      </c>
      <c r="S56" s="4">
        <f>$O$50*$P$48</f>
        <v>32.889744529407004</v>
      </c>
      <c r="T56" s="4">
        <f>$O$50*$Q$48</f>
        <v>16.444872264703502</v>
      </c>
      <c r="U56" s="4">
        <f>$O$50*$R$48</f>
        <v>16.444872264703502</v>
      </c>
      <c r="V56" s="4">
        <f>$O$50*$S$48</f>
        <v>0</v>
      </c>
    </row>
    <row r="57" spans="11:22" hidden="1">
      <c r="K57">
        <v>2026</v>
      </c>
      <c r="L57" s="4"/>
      <c r="M57" s="4"/>
      <c r="N57" s="4"/>
      <c r="O57" s="4"/>
      <c r="P57" s="4">
        <f>$P$50*$L$48</f>
        <v>892.65248154537835</v>
      </c>
      <c r="Q57" s="4">
        <f>$P$50*$M$48</f>
        <v>437.90499094678933</v>
      </c>
      <c r="R57" s="4">
        <f>$P$50*$N$48</f>
        <v>168.42499651799591</v>
      </c>
      <c r="S57" s="4">
        <f>$P$50*$O$48</f>
        <v>84.212498258997954</v>
      </c>
      <c r="T57" s="4">
        <f>$P$50*$P$48</f>
        <v>33.684999303599177</v>
      </c>
      <c r="U57" s="4">
        <f>$P$50*$Q$48</f>
        <v>16.842499651799589</v>
      </c>
      <c r="V57" s="4">
        <f>$P$50*$R$48</f>
        <v>16.842499651799589</v>
      </c>
    </row>
    <row r="58" spans="11:22" hidden="1">
      <c r="K58">
        <v>2027</v>
      </c>
      <c r="L58" s="4"/>
      <c r="M58" s="4"/>
      <c r="N58" s="4"/>
      <c r="O58" s="4"/>
      <c r="P58" s="4"/>
      <c r="Q58" s="4">
        <f>$Q$50*$L$48</f>
        <v>913.57720790463736</v>
      </c>
      <c r="R58" s="4">
        <f>$Q$50*$M$48</f>
        <v>448.16995104755796</v>
      </c>
      <c r="S58" s="4">
        <f>$Q$50*$N$48</f>
        <v>172.37305809521459</v>
      </c>
      <c r="T58" s="4">
        <f>$Q$50*$O$48</f>
        <v>86.186529047607294</v>
      </c>
      <c r="U58" s="4">
        <f>$Q$50*$P$48</f>
        <v>34.474611619042918</v>
      </c>
      <c r="V58" s="4">
        <f>$Q$50*$Q$48</f>
        <v>17.237305809521459</v>
      </c>
    </row>
    <row r="59" spans="11:22" hidden="1">
      <c r="K59">
        <v>2028</v>
      </c>
      <c r="L59" s="4"/>
      <c r="M59" s="4"/>
      <c r="N59" s="4"/>
      <c r="O59" s="4"/>
      <c r="P59" s="4"/>
      <c r="Q59" s="4"/>
      <c r="R59" s="4">
        <f>$R$50*$L$48</f>
        <v>935.43719946056217</v>
      </c>
      <c r="S59" s="4">
        <f>$R$50*$M$48</f>
        <v>458.89372049008705</v>
      </c>
      <c r="T59" s="4">
        <f>$R$50*$N$48</f>
        <v>176.49758480387965</v>
      </c>
      <c r="U59" s="4">
        <f>$R$50*$O$48</f>
        <v>88.248792401939824</v>
      </c>
      <c r="V59" s="4">
        <f>$R$50*$P$48</f>
        <v>35.299516960775925</v>
      </c>
    </row>
    <row r="60" spans="11:22" hidden="1">
      <c r="K60">
        <v>2029</v>
      </c>
      <c r="L60" s="4"/>
      <c r="M60" s="4"/>
      <c r="N60" s="4"/>
      <c r="O60" s="4"/>
      <c r="P60" s="4"/>
      <c r="Q60" s="4"/>
      <c r="R60" s="4"/>
      <c r="S60" s="4">
        <f>$S$50*$L$48</f>
        <v>958.05947612975683</v>
      </c>
      <c r="T60" s="4">
        <f>$S$50*$M$48</f>
        <v>469.99144112025806</v>
      </c>
      <c r="U60" s="4">
        <f>$S$50*$N$48</f>
        <v>180.76593889240695</v>
      </c>
      <c r="V60" s="4">
        <f>$S$50*$O$48</f>
        <v>90.382969446203475</v>
      </c>
    </row>
    <row r="61" spans="11:22" hidden="1">
      <c r="K61">
        <v>2030</v>
      </c>
      <c r="L61" s="4"/>
      <c r="M61" s="4"/>
      <c r="N61" s="4"/>
      <c r="O61" s="4"/>
      <c r="P61" s="4"/>
      <c r="Q61" s="4"/>
      <c r="R61" s="4"/>
      <c r="S61" s="4"/>
      <c r="T61" s="4">
        <f>$T$50*$L$48</f>
        <v>980.99057599868661</v>
      </c>
      <c r="U61" s="4">
        <f>$T$50*$M$48</f>
        <v>481.24065992388398</v>
      </c>
      <c r="V61" s="4">
        <f>$T$50*$N$48</f>
        <v>185.09256150918614</v>
      </c>
    </row>
    <row r="62" spans="11:22" hidden="1">
      <c r="K62">
        <v>2031</v>
      </c>
      <c r="L62" s="4"/>
      <c r="M62" s="4"/>
      <c r="N62" s="4"/>
      <c r="O62" s="4"/>
      <c r="P62" s="4"/>
      <c r="Q62" s="4"/>
      <c r="R62" s="4"/>
      <c r="S62" s="4"/>
      <c r="T62" s="4"/>
      <c r="U62" s="4">
        <f>$U$50*$L$48</f>
        <v>1004.231476355958</v>
      </c>
      <c r="V62" s="4">
        <f>$U$50*$M$48</f>
        <v>492.64185632556428</v>
      </c>
    </row>
    <row r="63" spans="11:22" hidden="1">
      <c r="K63">
        <v>2032</v>
      </c>
      <c r="L63" s="4"/>
      <c r="M63" s="4"/>
      <c r="N63" s="4"/>
      <c r="O63" s="4"/>
      <c r="P63" s="4"/>
      <c r="Q63" s="4"/>
      <c r="R63" s="4"/>
      <c r="S63" s="4"/>
      <c r="T63" s="4"/>
      <c r="U63" s="4"/>
      <c r="V63" s="4">
        <f>$V$50*$L$48</f>
        <v>1028.7316130830347</v>
      </c>
    </row>
    <row r="64" spans="11:22" hidden="1">
      <c r="K64" s="4" t="s">
        <v>14</v>
      </c>
      <c r="L64" s="4">
        <f>SUM(L51:L63)</f>
        <v>849.19091000000003</v>
      </c>
      <c r="M64" s="4">
        <f>SUM(M51:M63)</f>
        <v>1259.28422</v>
      </c>
      <c r="N64" s="4">
        <f t="shared" ref="N64:V64" si="12">SUM(N51:N63)</f>
        <v>1424.7517000000003</v>
      </c>
      <c r="O64" s="4">
        <f t="shared" si="12"/>
        <v>1528.2245800292856</v>
      </c>
      <c r="P64" s="4">
        <f t="shared" si="12"/>
        <v>1592.3541004276694</v>
      </c>
      <c r="Q64" s="4">
        <f t="shared" si="12"/>
        <v>1644.0483914984618</v>
      </c>
      <c r="R64" s="4">
        <f t="shared" si="12"/>
        <v>1698.2969783496335</v>
      </c>
      <c r="S64" s="4">
        <f t="shared" si="12"/>
        <v>1738.3874975034635</v>
      </c>
      <c r="T64" s="4">
        <f t="shared" si="12"/>
        <v>1779.8550025387344</v>
      </c>
      <c r="U64" s="4">
        <f t="shared" si="12"/>
        <v>1822.2488511097347</v>
      </c>
      <c r="V64" s="4">
        <f t="shared" si="12"/>
        <v>1866.2283227860858</v>
      </c>
    </row>
    <row r="66" spans="10:22" hidden="1">
      <c r="J66" s="2" t="s">
        <v>15</v>
      </c>
      <c r="L66">
        <v>2023</v>
      </c>
      <c r="M66">
        <v>2024</v>
      </c>
      <c r="N66">
        <v>2025</v>
      </c>
      <c r="O66">
        <v>2026</v>
      </c>
      <c r="P66">
        <v>2027</v>
      </c>
      <c r="Q66">
        <v>2028</v>
      </c>
      <c r="R66">
        <v>2029</v>
      </c>
      <c r="S66">
        <v>2030</v>
      </c>
      <c r="T66">
        <v>2031</v>
      </c>
      <c r="U66">
        <v>2032</v>
      </c>
      <c r="V66">
        <v>2033</v>
      </c>
    </row>
    <row r="67" spans="10:22" hidden="1">
      <c r="K67" s="4" t="s">
        <v>16</v>
      </c>
      <c r="L67" s="4">
        <v>0</v>
      </c>
      <c r="M67" s="4">
        <f>M41</f>
        <v>-58.171210000000201</v>
      </c>
      <c r="N67" s="4">
        <f t="shared" ref="N67:V67" si="13">N41</f>
        <v>-100.57070999999996</v>
      </c>
      <c r="O67" s="4">
        <f t="shared" si="13"/>
        <v>-120.07782997071467</v>
      </c>
      <c r="P67" s="4">
        <f t="shared" si="13"/>
        <v>-130.81396957233096</v>
      </c>
      <c r="Q67" s="4">
        <f t="shared" si="13"/>
        <v>-137.28938850153872</v>
      </c>
      <c r="R67" s="4">
        <f t="shared" si="13"/>
        <v>-142.12874165036692</v>
      </c>
      <c r="S67" s="4">
        <f t="shared" si="13"/>
        <v>-146.87778249653707</v>
      </c>
      <c r="T67" s="4">
        <f t="shared" si="13"/>
        <v>-150.63542746126609</v>
      </c>
      <c r="U67" s="4">
        <f t="shared" si="13"/>
        <v>-154.22336889026587</v>
      </c>
      <c r="V67" s="4">
        <f t="shared" si="13"/>
        <v>-157.94550721391465</v>
      </c>
    </row>
    <row r="68" spans="10:22" ht="15.6" hidden="1">
      <c r="K68" s="7"/>
      <c r="L68" s="8"/>
      <c r="M68" s="8"/>
      <c r="N68" s="8"/>
      <c r="O68" s="8"/>
      <c r="P68" s="8"/>
      <c r="Q68" s="8"/>
      <c r="R68" s="8"/>
      <c r="S68" s="8"/>
      <c r="T68" s="8"/>
      <c r="U68" s="8"/>
      <c r="V68" s="8"/>
    </row>
    <row r="69" spans="10:22" hidden="1">
      <c r="K69" s="4" t="s">
        <v>17</v>
      </c>
      <c r="L69" s="4"/>
      <c r="M69" s="4"/>
      <c r="N69" s="4"/>
      <c r="O69" s="4"/>
      <c r="P69" s="4"/>
      <c r="Q69" s="4"/>
      <c r="R69" s="4"/>
      <c r="S69" s="4"/>
      <c r="T69" s="4"/>
      <c r="U69" s="4"/>
      <c r="V69" s="4"/>
    </row>
    <row r="70" spans="10:22" hidden="1">
      <c r="K70" s="4">
        <f>L67</f>
        <v>0</v>
      </c>
      <c r="L70" s="4">
        <f t="shared" ref="L70:V80" si="14">IF(+L85&gt;0,+$K70*L85," ")</f>
        <v>0</v>
      </c>
      <c r="M70" s="4">
        <f t="shared" si="14"/>
        <v>0</v>
      </c>
      <c r="N70" s="4">
        <f t="shared" si="14"/>
        <v>0</v>
      </c>
      <c r="O70" s="4">
        <f t="shared" si="14"/>
        <v>0</v>
      </c>
      <c r="P70" s="4">
        <f t="shared" si="14"/>
        <v>0</v>
      </c>
      <c r="Q70" s="4">
        <f t="shared" si="14"/>
        <v>0</v>
      </c>
      <c r="R70" s="4">
        <f t="shared" si="14"/>
        <v>0</v>
      </c>
      <c r="S70" s="4">
        <f t="shared" si="14"/>
        <v>0</v>
      </c>
      <c r="T70" s="4">
        <f t="shared" si="14"/>
        <v>0</v>
      </c>
      <c r="U70" s="4">
        <f t="shared" si="14"/>
        <v>0</v>
      </c>
      <c r="V70" s="4">
        <f t="shared" si="14"/>
        <v>0</v>
      </c>
    </row>
    <row r="71" spans="10:22" hidden="1">
      <c r="K71" s="4">
        <f>M67</f>
        <v>-58.171210000000201</v>
      </c>
      <c r="L71" s="4"/>
      <c r="M71" s="4">
        <f t="shared" si="14"/>
        <v>-0.65733467300000226</v>
      </c>
      <c r="N71" s="4">
        <f t="shared" si="14"/>
        <v>-1.9894553820000069</v>
      </c>
      <c r="O71" s="4">
        <f t="shared" si="14"/>
        <v>-1.9429184140000066</v>
      </c>
      <c r="P71" s="4">
        <f t="shared" si="14"/>
        <v>-1.9371012930000069</v>
      </c>
      <c r="Q71" s="4">
        <f t="shared" si="14"/>
        <v>-1.977821140000007</v>
      </c>
      <c r="R71" s="4">
        <f t="shared" si="14"/>
        <v>-2.0127238660000071</v>
      </c>
      <c r="S71" s="4">
        <f t="shared" si="14"/>
        <v>-2.0650779550000071</v>
      </c>
      <c r="T71" s="4">
        <f t="shared" si="14"/>
        <v>-2.1057978020000077</v>
      </c>
      <c r="U71" s="4">
        <f t="shared" si="14"/>
        <v>-2.1407005280000075</v>
      </c>
      <c r="V71" s="4">
        <f t="shared" si="14"/>
        <v>-2.2105059800000078</v>
      </c>
    </row>
    <row r="72" spans="10:22" hidden="1">
      <c r="K72" s="4">
        <f>N67</f>
        <v>-100.57070999999996</v>
      </c>
      <c r="L72" s="4" t="str">
        <f t="shared" ref="L72:L80" si="15">IF(+L87&gt;0,+$K72*L87," ")</f>
        <v xml:space="preserve"> </v>
      </c>
      <c r="M72" s="4" t="str">
        <f t="shared" si="14"/>
        <v xml:space="preserve"> </v>
      </c>
      <c r="N72" s="4">
        <f t="shared" si="14"/>
        <v>-1.2873050879999997</v>
      </c>
      <c r="O72" s="4">
        <f t="shared" si="14"/>
        <v>-3.0070642289999987</v>
      </c>
      <c r="P72" s="4">
        <f t="shared" si="14"/>
        <v>-3.0573495839999989</v>
      </c>
      <c r="Q72" s="4">
        <f t="shared" si="14"/>
        <v>-3.1378061519999987</v>
      </c>
      <c r="R72" s="4">
        <f t="shared" si="14"/>
        <v>-3.2182627199999989</v>
      </c>
      <c r="S72" s="4">
        <f t="shared" si="14"/>
        <v>-3.3188334299999989</v>
      </c>
      <c r="T72" s="4">
        <f t="shared" si="14"/>
        <v>-3.4093470689999985</v>
      </c>
      <c r="U72" s="4">
        <f t="shared" si="14"/>
        <v>-3.5099177789999989</v>
      </c>
      <c r="V72" s="4">
        <f t="shared" si="14"/>
        <v>-3.6104884889999989</v>
      </c>
    </row>
    <row r="73" spans="10:22" hidden="1">
      <c r="K73" s="4">
        <f>O67</f>
        <v>-120.07782997071467</v>
      </c>
      <c r="L73" s="4" t="str">
        <f t="shared" si="15"/>
        <v xml:space="preserve"> </v>
      </c>
      <c r="M73" s="4" t="str">
        <f t="shared" si="14"/>
        <v xml:space="preserve"> </v>
      </c>
      <c r="N73" s="4" t="str">
        <f t="shared" si="14"/>
        <v xml:space="preserve"> </v>
      </c>
      <c r="O73" s="4">
        <f t="shared" si="14"/>
        <v>-1.5490040066222193</v>
      </c>
      <c r="P73" s="4">
        <f t="shared" si="14"/>
        <v>-3.4582415031565827</v>
      </c>
      <c r="Q73" s="4">
        <f t="shared" si="14"/>
        <v>-3.5783193331272973</v>
      </c>
      <c r="R73" s="4">
        <f t="shared" si="14"/>
        <v>-3.6743815971038689</v>
      </c>
      <c r="S73" s="4">
        <f t="shared" si="14"/>
        <v>-3.7944594270745839</v>
      </c>
      <c r="T73" s="4">
        <f t="shared" si="14"/>
        <v>-3.9145372570452981</v>
      </c>
      <c r="U73" s="4">
        <f t="shared" si="14"/>
        <v>-4.0226073040189414</v>
      </c>
      <c r="V73" s="4">
        <f t="shared" si="14"/>
        <v>-4.1546929169867273</v>
      </c>
    </row>
    <row r="74" spans="10:22" hidden="1">
      <c r="K74" s="4">
        <f>P67</f>
        <v>-130.81396957233096</v>
      </c>
      <c r="L74" s="4" t="str">
        <f t="shared" si="15"/>
        <v xml:space="preserve"> </v>
      </c>
      <c r="M74" s="4" t="str">
        <f t="shared" si="14"/>
        <v xml:space="preserve"> </v>
      </c>
      <c r="N74" s="4" t="str">
        <f t="shared" si="14"/>
        <v xml:space="preserve"> </v>
      </c>
      <c r="O74" s="4" t="str">
        <f t="shared" si="14"/>
        <v xml:space="preserve"> </v>
      </c>
      <c r="P74" s="4">
        <f t="shared" si="14"/>
        <v>-1.6220932226969038</v>
      </c>
      <c r="Q74" s="4">
        <f t="shared" si="14"/>
        <v>-3.7674423236831314</v>
      </c>
      <c r="R74" s="4">
        <f t="shared" si="14"/>
        <v>-3.8851748962982295</v>
      </c>
      <c r="S74" s="4">
        <f t="shared" si="14"/>
        <v>-4.0159888658705611</v>
      </c>
      <c r="T74" s="4">
        <f t="shared" si="14"/>
        <v>-4.1337214384856589</v>
      </c>
      <c r="U74" s="4">
        <f t="shared" si="14"/>
        <v>-4.2514540111007566</v>
      </c>
      <c r="V74" s="4">
        <f t="shared" si="14"/>
        <v>-4.3953493776303203</v>
      </c>
    </row>
    <row r="75" spans="10:22" hidden="1">
      <c r="K75" s="4">
        <f>Q67</f>
        <v>-137.28938850153872</v>
      </c>
      <c r="L75" s="4" t="str">
        <f t="shared" si="15"/>
        <v xml:space="preserve"> </v>
      </c>
      <c r="M75" s="4" t="str">
        <f t="shared" si="14"/>
        <v xml:space="preserve"> </v>
      </c>
      <c r="N75" s="4" t="str">
        <f t="shared" si="14"/>
        <v xml:space="preserve"> </v>
      </c>
      <c r="O75" s="4" t="str">
        <f t="shared" si="14"/>
        <v xml:space="preserve"> </v>
      </c>
      <c r="P75" s="4" t="str">
        <f t="shared" si="14"/>
        <v xml:space="preserve"> </v>
      </c>
      <c r="Q75" s="4">
        <f t="shared" si="14"/>
        <v>-1.7847620505200033</v>
      </c>
      <c r="R75" s="4">
        <f t="shared" si="14"/>
        <v>-3.9676633276944688</v>
      </c>
      <c r="S75" s="4">
        <f t="shared" si="14"/>
        <v>-4.0912237773458537</v>
      </c>
      <c r="T75" s="4">
        <f t="shared" si="14"/>
        <v>-4.2285131658473931</v>
      </c>
      <c r="U75" s="4">
        <f t="shared" si="14"/>
        <v>-4.3658025543489316</v>
      </c>
      <c r="V75" s="4">
        <f t="shared" si="14"/>
        <v>-4.4893630040003165</v>
      </c>
    </row>
    <row r="76" spans="10:22" hidden="1">
      <c r="K76" s="4">
        <f>R67</f>
        <v>-142.12874165036692</v>
      </c>
      <c r="L76" s="4" t="str">
        <f t="shared" si="15"/>
        <v xml:space="preserve"> </v>
      </c>
      <c r="M76" s="4" t="str">
        <f t="shared" si="14"/>
        <v xml:space="preserve"> </v>
      </c>
      <c r="N76" s="4" t="str">
        <f t="shared" si="14"/>
        <v xml:space="preserve"> </v>
      </c>
      <c r="O76" s="4" t="str">
        <f t="shared" si="14"/>
        <v xml:space="preserve"> </v>
      </c>
      <c r="P76" s="4" t="str">
        <f t="shared" si="14"/>
        <v xml:space="preserve"> </v>
      </c>
      <c r="Q76" s="4" t="str">
        <f t="shared" si="14"/>
        <v xml:space="preserve"> </v>
      </c>
      <c r="R76" s="4">
        <f t="shared" si="14"/>
        <v>-1.7197577739694396</v>
      </c>
      <c r="S76" s="4">
        <f t="shared" si="14"/>
        <v>-4.1359463820256774</v>
      </c>
      <c r="T76" s="4">
        <f t="shared" si="14"/>
        <v>-4.263862249511007</v>
      </c>
      <c r="U76" s="4">
        <f t="shared" si="14"/>
        <v>-4.3917781169963375</v>
      </c>
      <c r="V76" s="4">
        <f t="shared" si="14"/>
        <v>-4.5196939844816679</v>
      </c>
    </row>
    <row r="77" spans="10:22" hidden="1">
      <c r="K77" s="4">
        <f>S67</f>
        <v>-146.87778249653707</v>
      </c>
      <c r="L77" s="4" t="str">
        <f t="shared" si="15"/>
        <v xml:space="preserve"> </v>
      </c>
      <c r="M77" s="4" t="str">
        <f t="shared" si="14"/>
        <v xml:space="preserve"> </v>
      </c>
      <c r="N77" s="4" t="str">
        <f t="shared" si="14"/>
        <v xml:space="preserve"> </v>
      </c>
      <c r="O77" s="4" t="str">
        <f t="shared" si="14"/>
        <v xml:space="preserve"> </v>
      </c>
      <c r="P77" s="4" t="str">
        <f t="shared" si="14"/>
        <v xml:space="preserve"> </v>
      </c>
      <c r="Q77" s="4" t="str">
        <f t="shared" si="14"/>
        <v xml:space="preserve"> </v>
      </c>
      <c r="R77" s="4" t="str">
        <f t="shared" si="14"/>
        <v xml:space="preserve"> </v>
      </c>
      <c r="S77" s="4">
        <f t="shared" si="14"/>
        <v>-1.9387867289542893</v>
      </c>
      <c r="T77" s="4">
        <f t="shared" si="14"/>
        <v>-4.288831248898882</v>
      </c>
      <c r="U77" s="4">
        <f t="shared" si="14"/>
        <v>-4.4210212531457653</v>
      </c>
      <c r="V77" s="4">
        <f t="shared" si="14"/>
        <v>-4.5532112573926486</v>
      </c>
    </row>
    <row r="78" spans="10:22" hidden="1">
      <c r="K78" s="4">
        <f>T67</f>
        <v>-150.63542746126609</v>
      </c>
      <c r="L78" s="4" t="str">
        <f t="shared" si="15"/>
        <v xml:space="preserve"> </v>
      </c>
      <c r="M78" s="4" t="str">
        <f t="shared" si="14"/>
        <v xml:space="preserve"> </v>
      </c>
      <c r="N78" s="4" t="str">
        <f t="shared" si="14"/>
        <v xml:space="preserve"> </v>
      </c>
      <c r="O78" s="4" t="str">
        <f t="shared" si="14"/>
        <v xml:space="preserve"> </v>
      </c>
      <c r="P78" s="4" t="str">
        <f t="shared" si="14"/>
        <v xml:space="preserve"> </v>
      </c>
      <c r="Q78" s="4" t="str">
        <f t="shared" si="14"/>
        <v xml:space="preserve"> </v>
      </c>
      <c r="R78" s="4" t="str">
        <f t="shared" si="14"/>
        <v xml:space="preserve"> </v>
      </c>
      <c r="S78" s="4"/>
      <c r="T78" s="4">
        <f>IF(+T93&gt;0,+$K78*T93," ")</f>
        <v>-1.9431970142503325</v>
      </c>
      <c r="U78" s="4">
        <f>IF(+U93&gt;0,+$K78*U93," ")</f>
        <v>-4.4136180246150962</v>
      </c>
      <c r="V78" s="4">
        <f>IF(+V93&gt;0,+$K78*V93," ")</f>
        <v>-4.5491899093302361</v>
      </c>
    </row>
    <row r="79" spans="10:22" hidden="1">
      <c r="K79" s="4">
        <f>U67</f>
        <v>-154.22336889026587</v>
      </c>
      <c r="L79" s="4" t="str">
        <f t="shared" si="15"/>
        <v xml:space="preserve"> </v>
      </c>
      <c r="M79" s="4" t="str">
        <f t="shared" si="14"/>
        <v xml:space="preserve"> </v>
      </c>
      <c r="N79" s="4" t="str">
        <f t="shared" si="14"/>
        <v xml:space="preserve"> </v>
      </c>
      <c r="O79" s="4" t="str">
        <f t="shared" si="14"/>
        <v xml:space="preserve"> </v>
      </c>
      <c r="P79" s="4" t="str">
        <f t="shared" si="14"/>
        <v xml:space="preserve"> </v>
      </c>
      <c r="Q79" s="4" t="str">
        <f t="shared" si="14"/>
        <v xml:space="preserve"> </v>
      </c>
      <c r="R79" s="4" t="str">
        <f t="shared" si="14"/>
        <v xml:space="preserve"> </v>
      </c>
      <c r="S79" s="4" t="str">
        <f>IF(+S94&gt;0,+$K79*S94," ")</f>
        <v xml:space="preserve"> </v>
      </c>
      <c r="T79" s="4"/>
      <c r="U79" s="4">
        <f>IF(+U94&gt;0,+$K79*U94," ")</f>
        <v>-1.9432144480173501</v>
      </c>
      <c r="V79" s="4">
        <f>IF(+V94&gt;0,+$K79*V94," ")</f>
        <v>-4.5187447084847898</v>
      </c>
    </row>
    <row r="80" spans="10:22" hidden="1">
      <c r="K80" s="4">
        <f>V67</f>
        <v>-157.94550721391465</v>
      </c>
      <c r="L80" s="4" t="str">
        <f t="shared" si="15"/>
        <v xml:space="preserve"> </v>
      </c>
      <c r="M80" s="4" t="str">
        <f t="shared" si="14"/>
        <v xml:space="preserve"> </v>
      </c>
      <c r="N80" s="4" t="str">
        <f t="shared" si="14"/>
        <v xml:space="preserve"> </v>
      </c>
      <c r="O80" s="4" t="str">
        <f t="shared" si="14"/>
        <v xml:space="preserve"> </v>
      </c>
      <c r="P80" s="4" t="str">
        <f t="shared" si="14"/>
        <v xml:space="preserve"> </v>
      </c>
      <c r="Q80" s="4" t="str">
        <f t="shared" si="14"/>
        <v xml:space="preserve"> </v>
      </c>
      <c r="R80" s="4" t="str">
        <f t="shared" si="14"/>
        <v xml:space="preserve"> </v>
      </c>
      <c r="S80" s="4" t="str">
        <f>IF(+S95&gt;0,+$K80*S95," ")</f>
        <v xml:space="preserve"> </v>
      </c>
      <c r="T80" s="4" t="str">
        <f>IF(+T95&gt;0,+$K80*T95," ")</f>
        <v xml:space="preserve"> </v>
      </c>
      <c r="U80" s="4" t="str">
        <f>IF(+U95&gt;0,+$K80*U95," ")</f>
        <v xml:space="preserve"> </v>
      </c>
      <c r="V80" s="4">
        <f>IF(+V95&gt;0,+$K80*V95," ")</f>
        <v>-2.0374970430594992</v>
      </c>
    </row>
    <row r="81" spans="11:22" hidden="1">
      <c r="K81" s="4" t="s">
        <v>10</v>
      </c>
      <c r="L81" s="4">
        <f t="shared" ref="L81:V81" si="16">ROUND(SUM(L70:L80),3)</f>
        <v>0</v>
      </c>
      <c r="M81" s="4">
        <f t="shared" si="16"/>
        <v>-0.65700000000000003</v>
      </c>
      <c r="N81" s="4">
        <f t="shared" si="16"/>
        <v>-3.2770000000000001</v>
      </c>
      <c r="O81" s="4">
        <f t="shared" si="16"/>
        <v>-6.4989999999999997</v>
      </c>
      <c r="P81" s="4">
        <f t="shared" si="16"/>
        <v>-10.074999999999999</v>
      </c>
      <c r="Q81" s="4">
        <f t="shared" si="16"/>
        <v>-14.246</v>
      </c>
      <c r="R81" s="4">
        <f t="shared" si="16"/>
        <v>-18.478000000000002</v>
      </c>
      <c r="S81" s="4">
        <f t="shared" si="16"/>
        <v>-23.36</v>
      </c>
      <c r="T81" s="4">
        <f t="shared" si="16"/>
        <v>-28.288</v>
      </c>
      <c r="U81" s="4">
        <f t="shared" si="16"/>
        <v>-33.46</v>
      </c>
      <c r="V81" s="4">
        <f t="shared" si="16"/>
        <v>-39.039000000000001</v>
      </c>
    </row>
    <row r="82" spans="11:22" hidden="1">
      <c r="K82" s="4"/>
      <c r="L82" s="4"/>
      <c r="M82" s="4"/>
      <c r="N82" s="4"/>
      <c r="O82" s="4"/>
      <c r="P82" s="4"/>
      <c r="Q82" s="4"/>
      <c r="R82" s="4"/>
      <c r="S82" s="4"/>
      <c r="T82" s="4"/>
      <c r="U82" s="4"/>
      <c r="V82" s="4"/>
    </row>
    <row r="83" spans="11:22" hidden="1">
      <c r="K83" s="4" t="s">
        <v>18</v>
      </c>
      <c r="L83" s="4">
        <v>0</v>
      </c>
      <c r="M83" s="4">
        <f t="shared" ref="M83:V83" si="17">L83+1</f>
        <v>1</v>
      </c>
      <c r="N83" s="4">
        <f t="shared" si="17"/>
        <v>2</v>
      </c>
      <c r="O83" s="4">
        <f t="shared" si="17"/>
        <v>3</v>
      </c>
      <c r="P83" s="4">
        <f t="shared" si="17"/>
        <v>4</v>
      </c>
      <c r="Q83" s="4">
        <f t="shared" si="17"/>
        <v>5</v>
      </c>
      <c r="R83" s="4">
        <f t="shared" si="17"/>
        <v>6</v>
      </c>
      <c r="S83" s="4">
        <f t="shared" si="17"/>
        <v>7</v>
      </c>
      <c r="T83" s="4">
        <f t="shared" si="17"/>
        <v>8</v>
      </c>
      <c r="U83" s="4">
        <f t="shared" si="17"/>
        <v>9</v>
      </c>
      <c r="V83" s="4">
        <f t="shared" si="17"/>
        <v>10</v>
      </c>
    </row>
    <row r="84" spans="11:22" hidden="1">
      <c r="K84" s="4" t="s">
        <v>19</v>
      </c>
      <c r="L84" s="4"/>
      <c r="M84" s="4"/>
      <c r="N84" s="4"/>
      <c r="O84" s="4"/>
      <c r="P84" s="4"/>
      <c r="Q84" s="4"/>
      <c r="R84" s="4"/>
      <c r="S84" s="4"/>
      <c r="T84" s="4"/>
      <c r="U84" s="4"/>
      <c r="V84" s="4"/>
    </row>
    <row r="85" spans="11:22" hidden="1">
      <c r="K85" s="4">
        <f>L83</f>
        <v>0</v>
      </c>
      <c r="L85" s="4">
        <v>9.1000000000000004E-3</v>
      </c>
      <c r="M85" s="4">
        <v>3.9100000000000003E-2</v>
      </c>
      <c r="N85" s="4">
        <v>3.3500000000000002E-2</v>
      </c>
      <c r="O85" s="4">
        <v>3.1699999999999999E-2</v>
      </c>
      <c r="P85" s="4">
        <v>3.1800000000000002E-2</v>
      </c>
      <c r="Q85" s="4">
        <v>3.2399999999999998E-2</v>
      </c>
      <c r="R85" s="4">
        <v>3.3000000000000002E-2</v>
      </c>
      <c r="S85" s="4">
        <v>3.3700000000000001E-2</v>
      </c>
      <c r="T85" s="4">
        <v>3.44E-2</v>
      </c>
      <c r="U85" s="4">
        <v>3.5499999999999997E-2</v>
      </c>
      <c r="V85" s="4">
        <v>3.6200000000000003E-2</v>
      </c>
    </row>
    <row r="86" spans="11:22" hidden="1">
      <c r="K86" s="4">
        <f t="shared" ref="K86:K95" si="18">K85+1</f>
        <v>1</v>
      </c>
      <c r="L86" s="4">
        <v>0</v>
      </c>
      <c r="M86" s="4">
        <v>1.1299999999999999E-2</v>
      </c>
      <c r="N86" s="4">
        <v>3.4200000000000001E-2</v>
      </c>
      <c r="O86" s="4">
        <v>3.3399999999999999E-2</v>
      </c>
      <c r="P86" s="4">
        <v>3.3300000000000003E-2</v>
      </c>
      <c r="Q86" s="4">
        <v>3.4000000000000002E-2</v>
      </c>
      <c r="R86" s="4">
        <v>3.4599999999999999E-2</v>
      </c>
      <c r="S86" s="4">
        <v>3.5499999999999997E-2</v>
      </c>
      <c r="T86" s="4">
        <v>3.6200000000000003E-2</v>
      </c>
      <c r="U86" s="4">
        <v>3.6799999999999999E-2</v>
      </c>
      <c r="V86" s="4">
        <v>3.7999999999999999E-2</v>
      </c>
    </row>
    <row r="87" spans="11:22" hidden="1">
      <c r="K87" s="4">
        <f t="shared" si="18"/>
        <v>2</v>
      </c>
      <c r="L87" s="4">
        <v>0</v>
      </c>
      <c r="M87" s="4">
        <v>0</v>
      </c>
      <c r="N87" s="4">
        <v>1.2800000000000001E-2</v>
      </c>
      <c r="O87" s="4">
        <v>2.9899999999999999E-2</v>
      </c>
      <c r="P87" s="4">
        <v>3.04E-2</v>
      </c>
      <c r="Q87" s="4">
        <v>3.1199999999999999E-2</v>
      </c>
      <c r="R87" s="4">
        <v>3.2000000000000001E-2</v>
      </c>
      <c r="S87" s="4">
        <v>3.3000000000000002E-2</v>
      </c>
      <c r="T87" s="4">
        <v>3.39E-2</v>
      </c>
      <c r="U87" s="4">
        <v>3.49E-2</v>
      </c>
      <c r="V87" s="4">
        <v>3.5900000000000001E-2</v>
      </c>
    </row>
    <row r="88" spans="11:22" hidden="1">
      <c r="K88" s="4">
        <f t="shared" si="18"/>
        <v>3</v>
      </c>
      <c r="L88" s="4">
        <v>0</v>
      </c>
      <c r="M88" s="4">
        <v>0</v>
      </c>
      <c r="N88" s="4">
        <v>0</v>
      </c>
      <c r="O88" s="4">
        <v>1.29E-2</v>
      </c>
      <c r="P88" s="4">
        <v>2.8799999999999999E-2</v>
      </c>
      <c r="Q88" s="4">
        <v>2.98E-2</v>
      </c>
      <c r="R88" s="4">
        <v>3.0599999999999999E-2</v>
      </c>
      <c r="S88" s="4">
        <v>3.1600000000000003E-2</v>
      </c>
      <c r="T88" s="4">
        <v>3.2599999999999997E-2</v>
      </c>
      <c r="U88" s="4">
        <v>3.3500000000000002E-2</v>
      </c>
      <c r="V88" s="4">
        <v>3.4599999999999999E-2</v>
      </c>
    </row>
    <row r="89" spans="11:22" hidden="1">
      <c r="K89" s="4">
        <f t="shared" si="18"/>
        <v>4</v>
      </c>
      <c r="L89" s="4">
        <v>0</v>
      </c>
      <c r="M89" s="4">
        <v>0</v>
      </c>
      <c r="N89" s="4">
        <v>0</v>
      </c>
      <c r="O89" s="4">
        <v>0</v>
      </c>
      <c r="P89" s="4">
        <v>1.24E-2</v>
      </c>
      <c r="Q89" s="4">
        <v>2.8799999999999999E-2</v>
      </c>
      <c r="R89" s="4">
        <v>2.9700000000000001E-2</v>
      </c>
      <c r="S89" s="4">
        <v>3.0700000000000002E-2</v>
      </c>
      <c r="T89" s="4">
        <v>3.1600000000000003E-2</v>
      </c>
      <c r="U89" s="4">
        <v>3.2500000000000001E-2</v>
      </c>
      <c r="V89" s="4">
        <v>3.3599999999999998E-2</v>
      </c>
    </row>
    <row r="90" spans="11:22" hidden="1">
      <c r="K90" s="4">
        <f t="shared" si="18"/>
        <v>5</v>
      </c>
      <c r="L90" s="4">
        <v>0</v>
      </c>
      <c r="M90" s="4">
        <v>0</v>
      </c>
      <c r="N90" s="4">
        <v>0</v>
      </c>
      <c r="O90" s="4">
        <v>0</v>
      </c>
      <c r="P90" s="4">
        <v>0</v>
      </c>
      <c r="Q90" s="4">
        <v>1.2999999999999999E-2</v>
      </c>
      <c r="R90" s="4">
        <v>2.8899999999999999E-2</v>
      </c>
      <c r="S90" s="4">
        <v>2.98E-2</v>
      </c>
      <c r="T90" s="4">
        <v>3.0800000000000001E-2</v>
      </c>
      <c r="U90" s="4">
        <v>3.1800000000000002E-2</v>
      </c>
      <c r="V90" s="4">
        <v>3.27E-2</v>
      </c>
    </row>
    <row r="91" spans="11:22" hidden="1">
      <c r="K91" s="4">
        <f t="shared" si="18"/>
        <v>6</v>
      </c>
      <c r="L91" s="4">
        <v>0</v>
      </c>
      <c r="M91" s="4">
        <v>0</v>
      </c>
      <c r="N91" s="4">
        <v>0</v>
      </c>
      <c r="O91" s="4">
        <v>0</v>
      </c>
      <c r="P91" s="4">
        <v>0</v>
      </c>
      <c r="Q91" s="4">
        <v>0</v>
      </c>
      <c r="R91" s="4">
        <v>1.21E-2</v>
      </c>
      <c r="S91" s="4">
        <v>2.9100000000000001E-2</v>
      </c>
      <c r="T91" s="4">
        <v>0.03</v>
      </c>
      <c r="U91" s="4">
        <v>3.09E-2</v>
      </c>
      <c r="V91" s="4">
        <v>3.1800000000000002E-2</v>
      </c>
    </row>
    <row r="92" spans="11:22" hidden="1">
      <c r="K92" s="4">
        <f t="shared" si="18"/>
        <v>7</v>
      </c>
      <c r="L92" s="4">
        <v>0</v>
      </c>
      <c r="M92" s="4">
        <v>0</v>
      </c>
      <c r="N92" s="4">
        <v>0</v>
      </c>
      <c r="O92" s="4">
        <v>0</v>
      </c>
      <c r="P92" s="4">
        <v>0</v>
      </c>
      <c r="Q92" s="4">
        <v>0</v>
      </c>
      <c r="R92" s="4">
        <v>0</v>
      </c>
      <c r="S92" s="4">
        <v>1.32E-2</v>
      </c>
      <c r="T92" s="4">
        <v>2.92E-2</v>
      </c>
      <c r="U92" s="4">
        <v>3.0099999999999998E-2</v>
      </c>
      <c r="V92" s="4">
        <v>3.1E-2</v>
      </c>
    </row>
    <row r="93" spans="11:22" hidden="1">
      <c r="K93" s="4">
        <f t="shared" si="18"/>
        <v>8</v>
      </c>
      <c r="L93" s="4">
        <v>0</v>
      </c>
      <c r="M93" s="4">
        <v>0</v>
      </c>
      <c r="N93" s="4">
        <v>0</v>
      </c>
      <c r="O93" s="4">
        <v>0</v>
      </c>
      <c r="P93" s="4">
        <v>0</v>
      </c>
      <c r="Q93" s="4">
        <v>0</v>
      </c>
      <c r="R93" s="4">
        <v>0</v>
      </c>
      <c r="S93" s="4">
        <v>0</v>
      </c>
      <c r="T93" s="4">
        <v>1.29E-2</v>
      </c>
      <c r="U93" s="4">
        <v>2.93E-2</v>
      </c>
      <c r="V93" s="4">
        <v>3.0200000000000001E-2</v>
      </c>
    </row>
    <row r="94" spans="11:22" hidden="1">
      <c r="K94" s="4">
        <f t="shared" si="18"/>
        <v>9</v>
      </c>
      <c r="L94" s="4">
        <v>0</v>
      </c>
      <c r="M94" s="4">
        <v>0</v>
      </c>
      <c r="N94" s="4">
        <v>0</v>
      </c>
      <c r="O94" s="4">
        <v>0</v>
      </c>
      <c r="P94" s="4">
        <v>0</v>
      </c>
      <c r="Q94" s="4">
        <v>0</v>
      </c>
      <c r="R94" s="4">
        <v>0</v>
      </c>
      <c r="S94" s="4">
        <v>0</v>
      </c>
      <c r="T94" s="4">
        <v>0</v>
      </c>
      <c r="U94" s="4">
        <v>1.26E-2</v>
      </c>
      <c r="V94" s="4">
        <v>2.93E-2</v>
      </c>
    </row>
    <row r="95" spans="11:22" hidden="1">
      <c r="K95" s="4">
        <f t="shared" si="18"/>
        <v>10</v>
      </c>
      <c r="L95" s="4">
        <v>0</v>
      </c>
      <c r="M95" s="4">
        <v>0</v>
      </c>
      <c r="N95" s="4">
        <v>0</v>
      </c>
      <c r="O95" s="4">
        <v>0</v>
      </c>
      <c r="P95" s="4">
        <v>0</v>
      </c>
      <c r="Q95" s="4">
        <v>0</v>
      </c>
      <c r="R95" s="4">
        <v>0</v>
      </c>
      <c r="S95" s="4">
        <v>0</v>
      </c>
      <c r="T95" s="4">
        <v>0</v>
      </c>
      <c r="U95" s="4">
        <v>0</v>
      </c>
      <c r="V95" s="4">
        <v>1.29E-2</v>
      </c>
    </row>
    <row r="97" spans="10:23" hidden="1">
      <c r="J97" s="9" t="s">
        <v>20</v>
      </c>
      <c r="L97" s="4"/>
      <c r="M97" s="4"/>
      <c r="N97" s="4"/>
      <c r="O97" s="4"/>
      <c r="P97" s="4"/>
      <c r="Q97" s="4"/>
      <c r="R97" s="4"/>
      <c r="S97" s="4"/>
      <c r="T97" s="4"/>
      <c r="U97" s="4"/>
      <c r="V97" s="4"/>
      <c r="W97" s="5"/>
    </row>
    <row r="98" spans="10:23" hidden="1">
      <c r="K98" t="s">
        <v>18</v>
      </c>
      <c r="L98" s="4">
        <v>2033</v>
      </c>
      <c r="M98" s="10"/>
      <c r="N98" s="10"/>
      <c r="O98" s="10"/>
      <c r="P98" s="10"/>
      <c r="Q98" s="10"/>
      <c r="R98" s="10"/>
      <c r="S98" s="10"/>
      <c r="T98" s="10"/>
      <c r="U98" s="10"/>
      <c r="V98" s="10"/>
      <c r="W98" s="10"/>
    </row>
    <row r="99" spans="10:23" hidden="1">
      <c r="K99" t="s">
        <v>21</v>
      </c>
      <c r="L99" s="4">
        <v>118.21740034570291</v>
      </c>
      <c r="M99" s="10"/>
      <c r="N99" s="10"/>
      <c r="O99" s="10"/>
      <c r="P99" s="10"/>
      <c r="Q99" s="10"/>
      <c r="R99" s="10"/>
      <c r="S99" s="10"/>
      <c r="T99" s="10"/>
      <c r="U99" s="10"/>
      <c r="V99" s="10"/>
      <c r="W99" s="10"/>
    </row>
    <row r="100" spans="10:23" hidden="1">
      <c r="K100" t="s">
        <v>22</v>
      </c>
      <c r="L100" s="4">
        <v>39288.07</v>
      </c>
      <c r="M100" s="10"/>
      <c r="N100" s="10"/>
      <c r="O100" s="10"/>
      <c r="P100" s="10"/>
      <c r="Q100" s="10"/>
      <c r="R100" s="10"/>
      <c r="S100" s="10"/>
      <c r="T100" s="10"/>
      <c r="U100" s="10"/>
      <c r="V100" s="10"/>
      <c r="W100" s="10"/>
    </row>
    <row r="101" spans="10:23" hidden="1">
      <c r="K101" t="s">
        <v>23</v>
      </c>
      <c r="L101" s="10">
        <f>((W45/L100)*100)</f>
        <v>-3.7571530893651306</v>
      </c>
      <c r="M101" s="10"/>
      <c r="N101" s="10"/>
      <c r="O101" s="10"/>
      <c r="P101" s="10"/>
      <c r="Q101" s="10"/>
      <c r="R101" s="10"/>
      <c r="S101" s="10"/>
      <c r="T101" s="10"/>
      <c r="U101" s="10"/>
      <c r="V101" s="10"/>
      <c r="W101" s="10"/>
    </row>
    <row r="102" spans="10:23" hidden="1">
      <c r="K102" t="s">
        <v>24</v>
      </c>
      <c r="L102" s="11">
        <f>L99+L101</f>
        <v>114.46024725633778</v>
      </c>
      <c r="M102" s="10"/>
      <c r="N102" s="10"/>
      <c r="O102" s="10"/>
      <c r="P102" s="10"/>
      <c r="Q102" s="10"/>
      <c r="R102" s="10"/>
      <c r="S102" s="10"/>
      <c r="T102" s="10"/>
      <c r="U102" s="10"/>
      <c r="V102" s="10"/>
      <c r="W102" s="10"/>
    </row>
    <row r="103" spans="10:23" hidden="1">
      <c r="L103" s="4"/>
      <c r="M103" s="4"/>
      <c r="N103" s="4"/>
      <c r="O103" s="4"/>
      <c r="P103" s="4"/>
      <c r="Q103" s="4"/>
      <c r="R103" s="4"/>
      <c r="S103" s="4"/>
      <c r="T103" s="4"/>
      <c r="U103" s="4"/>
      <c r="V103" s="4"/>
    </row>
    <row r="104" spans="10:23" hidden="1">
      <c r="J104" s="9" t="s">
        <v>29</v>
      </c>
      <c r="M104" s="4"/>
      <c r="N104" s="4"/>
      <c r="O104" s="4"/>
      <c r="P104" s="4"/>
      <c r="Q104" s="4"/>
      <c r="R104" s="4"/>
      <c r="S104" s="4"/>
      <c r="T104" s="4"/>
      <c r="U104" s="4"/>
      <c r="V104" s="4"/>
      <c r="W104" s="4"/>
    </row>
    <row r="105" spans="10:23" hidden="1">
      <c r="J105" t="s">
        <v>25</v>
      </c>
      <c r="L105" s="4"/>
    </row>
    <row r="106" spans="10:23" hidden="1">
      <c r="K106" t="s">
        <v>26</v>
      </c>
      <c r="L106" t="s">
        <v>27</v>
      </c>
      <c r="M106" s="12"/>
      <c r="N106" s="12"/>
      <c r="O106" s="12"/>
      <c r="P106" s="12"/>
      <c r="Q106" s="12"/>
      <c r="R106" s="12"/>
      <c r="S106" s="12"/>
      <c r="T106" s="12"/>
      <c r="U106" s="12"/>
      <c r="V106" s="12"/>
    </row>
    <row r="107" spans="10:23" hidden="1">
      <c r="K107" t="s">
        <v>28</v>
      </c>
      <c r="L107" s="4">
        <f>SUM(M40:V40)</f>
        <v>17652.413580000004</v>
      </c>
      <c r="M107" s="12"/>
      <c r="N107" s="12"/>
      <c r="O107" s="12"/>
      <c r="P107" s="12"/>
      <c r="Q107" s="12"/>
      <c r="R107" s="12"/>
      <c r="S107" s="12"/>
      <c r="T107" s="12"/>
      <c r="U107" s="12"/>
      <c r="V107" s="12"/>
    </row>
    <row r="108" spans="10:23" hidden="1">
      <c r="M108" s="12"/>
      <c r="N108" s="12"/>
      <c r="O108" s="12"/>
      <c r="P108" s="12"/>
      <c r="Q108" s="12"/>
      <c r="R108" s="12"/>
      <c r="S108" s="12"/>
      <c r="T108" s="12"/>
      <c r="U108" s="12"/>
      <c r="V108" s="12"/>
    </row>
    <row r="109" spans="10:23" hidden="1">
      <c r="J109" t="s">
        <v>31</v>
      </c>
      <c r="L109" s="4"/>
      <c r="M109" s="4"/>
      <c r="N109" s="4"/>
      <c r="O109" s="4"/>
      <c r="P109" s="4"/>
      <c r="Q109" s="4"/>
      <c r="R109" s="4"/>
      <c r="S109" s="4"/>
      <c r="T109" s="4"/>
      <c r="U109" s="4"/>
      <c r="V109" s="4"/>
    </row>
    <row r="110" spans="10:23" hidden="1">
      <c r="K110" t="s">
        <v>32</v>
      </c>
      <c r="L110" s="3">
        <f>SUM(M36:V36)-SUM(M37:V37)</f>
        <v>-1456.9289613069886</v>
      </c>
    </row>
    <row r="111" spans="10:23" hidden="1">
      <c r="K111" t="s">
        <v>33</v>
      </c>
      <c r="L111" s="3">
        <f>SUM(M36:N36)-SUM(M37:N37)</f>
        <v>-245.67000000000053</v>
      </c>
    </row>
    <row r="113" spans="10:21" hidden="1">
      <c r="J113" t="s">
        <v>34</v>
      </c>
    </row>
    <row r="114" spans="10:21" hidden="1">
      <c r="K114" t="s">
        <v>33</v>
      </c>
      <c r="L114" s="4">
        <f>SUM(M41:N41)</f>
        <v>-158.74192000000016</v>
      </c>
    </row>
    <row r="116" spans="10:21" hidden="1">
      <c r="J116" s="16" t="s">
        <v>35</v>
      </c>
      <c r="K116" s="3">
        <f>AVERAGE(M36:V36)</f>
        <v>1750.7708038693017</v>
      </c>
    </row>
    <row r="117" spans="10:21" hidden="1">
      <c r="J117">
        <v>2022</v>
      </c>
      <c r="K117" s="4">
        <f>M9</f>
        <v>1470.979</v>
      </c>
    </row>
    <row r="118" spans="10:21" hidden="1">
      <c r="J118" t="s">
        <v>30</v>
      </c>
      <c r="K118" s="3">
        <f>K116-K117</f>
        <v>279.7918038693017</v>
      </c>
    </row>
    <row r="121" spans="10:21" hidden="1">
      <c r="J121" t="s">
        <v>37</v>
      </c>
    </row>
    <row r="123" spans="10:21" hidden="1">
      <c r="J123" s="17" t="s">
        <v>38</v>
      </c>
      <c r="K123">
        <v>2023</v>
      </c>
      <c r="L123">
        <v>2024</v>
      </c>
      <c r="M123">
        <v>2025</v>
      </c>
      <c r="N123">
        <v>2026</v>
      </c>
      <c r="O123">
        <v>2027</v>
      </c>
      <c r="P123">
        <v>2028</v>
      </c>
      <c r="Q123">
        <v>2029</v>
      </c>
      <c r="R123">
        <v>2030</v>
      </c>
      <c r="S123">
        <v>2031</v>
      </c>
      <c r="T123">
        <v>2032</v>
      </c>
      <c r="U123">
        <v>2033</v>
      </c>
    </row>
    <row r="124" spans="10:21" hidden="1">
      <c r="J124" t="s">
        <v>22</v>
      </c>
      <c r="K124" s="4">
        <v>26237.919999999998</v>
      </c>
      <c r="L124" s="4">
        <v>27266.205000000002</v>
      </c>
      <c r="M124" s="4">
        <v>28610.078000000001</v>
      </c>
      <c r="N124" s="4">
        <v>29932.297999999999</v>
      </c>
      <c r="O124" s="4">
        <v>31251.275000000001</v>
      </c>
      <c r="P124" s="4">
        <v>32525.38</v>
      </c>
      <c r="Q124" s="4">
        <v>33810.781999999999</v>
      </c>
      <c r="R124" s="4">
        <v>35132.682000000001</v>
      </c>
      <c r="S124" s="4">
        <v>36487.811999999998</v>
      </c>
      <c r="T124" s="4">
        <v>37874.165000000001</v>
      </c>
      <c r="U124" s="4">
        <v>39288.07</v>
      </c>
    </row>
    <row r="125" spans="10:21" hidden="1">
      <c r="J125" t="s">
        <v>39</v>
      </c>
      <c r="L125" s="18">
        <f>(L124-K124)/K124</f>
        <v>3.9190797136358507E-2</v>
      </c>
      <c r="M125" s="18">
        <f t="shared" ref="M125:U125" si="19">(M124-L124)/L124</f>
        <v>4.9287130350556652E-2</v>
      </c>
      <c r="N125" s="18">
        <f t="shared" si="19"/>
        <v>4.6215183335047094E-2</v>
      </c>
      <c r="O125" s="18">
        <f t="shared" si="19"/>
        <v>4.4065343730040459E-2</v>
      </c>
      <c r="P125" s="18">
        <f t="shared" si="19"/>
        <v>4.076969659637885E-2</v>
      </c>
      <c r="Q125" s="18">
        <f t="shared" si="19"/>
        <v>3.9519968713662937E-2</v>
      </c>
      <c r="R125" s="18">
        <f t="shared" si="19"/>
        <v>3.9096995745321758E-2</v>
      </c>
      <c r="S125" s="18">
        <f t="shared" si="19"/>
        <v>3.8571777696903335E-2</v>
      </c>
      <c r="T125" s="18">
        <f t="shared" si="19"/>
        <v>3.7994961166758996E-2</v>
      </c>
      <c r="U125" s="18">
        <f t="shared" si="19"/>
        <v>3.733164810366113E-2</v>
      </c>
    </row>
    <row r="127" spans="10:21" hidden="1">
      <c r="J127" s="17"/>
    </row>
    <row r="128" spans="10:21" hidden="1">
      <c r="J128" s="17" t="s">
        <v>42</v>
      </c>
      <c r="K128">
        <v>2023</v>
      </c>
      <c r="L128">
        <v>2024</v>
      </c>
      <c r="M128">
        <v>2025</v>
      </c>
      <c r="N128">
        <v>2026</v>
      </c>
      <c r="O128">
        <v>2027</v>
      </c>
      <c r="P128">
        <v>2028</v>
      </c>
      <c r="Q128">
        <v>2029</v>
      </c>
      <c r="R128">
        <v>2030</v>
      </c>
      <c r="S128">
        <v>2031</v>
      </c>
      <c r="T128">
        <v>2032</v>
      </c>
      <c r="U128">
        <v>2033</v>
      </c>
    </row>
    <row r="129" spans="8:21" hidden="1">
      <c r="J129" s="16" t="s">
        <v>43</v>
      </c>
      <c r="K129" s="4">
        <v>1618.3</v>
      </c>
      <c r="L129" s="4">
        <v>1695.4690000000001</v>
      </c>
      <c r="M129" s="4">
        <v>1721.7860000000001</v>
      </c>
      <c r="N129" s="4">
        <v>1759.579</v>
      </c>
      <c r="O129" s="4">
        <v>1798.2260000000001</v>
      </c>
      <c r="P129" s="4">
        <v>1837.636</v>
      </c>
      <c r="Q129" s="4">
        <v>1864.4110000000001</v>
      </c>
      <c r="R129" s="4">
        <v>1891.7470000000001</v>
      </c>
      <c r="S129" s="4">
        <v>1919.5450000000001</v>
      </c>
      <c r="T129" s="4">
        <v>1948.0170000000001</v>
      </c>
      <c r="U129" s="4">
        <v>1976.952</v>
      </c>
    </row>
    <row r="130" spans="8:21" hidden="1">
      <c r="J130" s="22" t="s">
        <v>44</v>
      </c>
    </row>
    <row r="131" spans="8:21" hidden="1">
      <c r="J131" s="16" t="s">
        <v>39</v>
      </c>
      <c r="L131" s="18">
        <f>(L129-K129)/K129</f>
        <v>4.7685225236359201E-2</v>
      </c>
      <c r="M131" s="18">
        <f t="shared" ref="M131:U131" si="20">(M129-L129)/L129</f>
        <v>1.552195882083365E-2</v>
      </c>
      <c r="N131" s="18">
        <f t="shared" si="20"/>
        <v>2.1949882273406735E-2</v>
      </c>
      <c r="O131" s="18">
        <f t="shared" si="20"/>
        <v>2.1963776562461908E-2</v>
      </c>
      <c r="P131" s="18">
        <f t="shared" si="20"/>
        <v>2.1916043923288758E-2</v>
      </c>
      <c r="Q131" s="18">
        <f t="shared" si="20"/>
        <v>1.4570350167280186E-2</v>
      </c>
      <c r="R131" s="18">
        <f t="shared" si="20"/>
        <v>1.4662003174192821E-2</v>
      </c>
      <c r="S131" s="18">
        <f t="shared" si="20"/>
        <v>1.4694353949021724E-2</v>
      </c>
      <c r="T131" s="18">
        <f t="shared" si="20"/>
        <v>1.4832681703216116E-2</v>
      </c>
      <c r="U131" s="18">
        <f t="shared" si="20"/>
        <v>1.4853566472982497E-2</v>
      </c>
    </row>
    <row r="133" spans="8:21" hidden="1">
      <c r="J133" s="16" t="s">
        <v>50</v>
      </c>
      <c r="K133">
        <v>2023</v>
      </c>
      <c r="L133">
        <v>2024</v>
      </c>
      <c r="M133">
        <v>2025</v>
      </c>
      <c r="N133">
        <v>2026</v>
      </c>
      <c r="O133">
        <v>2027</v>
      </c>
      <c r="P133">
        <v>2028</v>
      </c>
      <c r="Q133">
        <v>2029</v>
      </c>
      <c r="R133">
        <v>2030</v>
      </c>
      <c r="S133">
        <v>2031</v>
      </c>
      <c r="T133">
        <v>2032</v>
      </c>
      <c r="U133">
        <v>2033</v>
      </c>
    </row>
    <row r="134" spans="8:21" hidden="1">
      <c r="J134" s="22" t="s">
        <v>49</v>
      </c>
      <c r="L134" s="18">
        <v>2.6880000000000001E-2</v>
      </c>
      <c r="M134" s="18">
        <v>2.1690000000000001E-2</v>
      </c>
      <c r="N134" s="18">
        <v>2.0819999999999998E-2</v>
      </c>
      <c r="O134" s="18">
        <v>2.0160000000000001E-2</v>
      </c>
      <c r="P134" s="18">
        <v>2.0080000000000001E-2</v>
      </c>
      <c r="Q134" s="18">
        <v>2.0110000000000003E-2</v>
      </c>
      <c r="R134" s="18">
        <v>2.0049999999999998E-2</v>
      </c>
      <c r="S134" s="18">
        <v>1.9939999999999999E-2</v>
      </c>
      <c r="T134" s="18">
        <v>1.9720000000000001E-2</v>
      </c>
      <c r="U134" s="18">
        <v>1.9429999999999999E-2</v>
      </c>
    </row>
    <row r="135" spans="8:21" hidden="1">
      <c r="J135" s="16"/>
    </row>
    <row r="136" spans="8:21" hidden="1">
      <c r="H136" s="24"/>
    </row>
    <row r="137" spans="8:21" hidden="1">
      <c r="H137" s="24"/>
      <c r="J137" t="s">
        <v>55</v>
      </c>
      <c r="K137" t="s">
        <v>56</v>
      </c>
      <c r="L137" t="str">
        <f>L139&amp;L140&amp;L141&amp;L142</f>
        <v>https://twitter.com/intent/tweet?text=My%20discretionary%20spending%20plan%20saves%20$1.5%20trillion%20over%20a%20decade.%20What%20about%20yours?%20%23BYOBudget%20@BudgetHawks%20%0Ahttps://www.crfb.org/blogs/build-your-own-discretionary-budget</v>
      </c>
    </row>
    <row r="138" spans="8:21" hidden="1">
      <c r="H138" s="24" t="str">
        <f>HYPERLINK(L137,"test")</f>
        <v>test</v>
      </c>
    </row>
    <row r="139" spans="8:21" hidden="1">
      <c r="I139" s="25"/>
      <c r="K139">
        <v>1</v>
      </c>
      <c r="L139" s="23" t="s">
        <v>57</v>
      </c>
    </row>
    <row r="140" spans="8:21" hidden="1">
      <c r="J140" s="16"/>
      <c r="K140">
        <v>2</v>
      </c>
      <c r="L140" s="26">
        <f>ROUND(K20,1)</f>
        <v>1.5</v>
      </c>
    </row>
    <row r="141" spans="8:21" hidden="1">
      <c r="K141">
        <v>3</v>
      </c>
      <c r="L141" s="24" t="s">
        <v>62</v>
      </c>
    </row>
    <row r="142" spans="8:21" hidden="1">
      <c r="K142">
        <v>4</v>
      </c>
      <c r="L142" s="27" t="s">
        <v>80</v>
      </c>
    </row>
    <row r="144" spans="8:21" hidden="1">
      <c r="H144" s="24"/>
      <c r="L144" s="24"/>
    </row>
    <row r="145" spans="8:13" hidden="1">
      <c r="H145" s="16" t="s">
        <v>90</v>
      </c>
      <c r="I145" s="10">
        <v>1695.4690000000001</v>
      </c>
    </row>
    <row r="148" spans="8:13" hidden="1">
      <c r="H148" t="s">
        <v>105</v>
      </c>
      <c r="I148" t="s">
        <v>48</v>
      </c>
      <c r="J148" s="24"/>
      <c r="L148" t="s">
        <v>107</v>
      </c>
      <c r="M148" t="s">
        <v>48</v>
      </c>
    </row>
    <row r="149" spans="8:13" hidden="1">
      <c r="I149" t="s">
        <v>93</v>
      </c>
      <c r="M149" t="s">
        <v>108</v>
      </c>
    </row>
    <row r="150" spans="8:13" hidden="1">
      <c r="I150" t="s">
        <v>117</v>
      </c>
      <c r="M150" t="s">
        <v>104</v>
      </c>
    </row>
    <row r="151" spans="8:13" hidden="1">
      <c r="I151" t="s">
        <v>125</v>
      </c>
      <c r="M151" t="s">
        <v>112</v>
      </c>
    </row>
    <row r="152" spans="8:13" hidden="1">
      <c r="I152" t="s">
        <v>118</v>
      </c>
      <c r="M152" t="s">
        <v>123</v>
      </c>
    </row>
    <row r="153" spans="8:13" hidden="1">
      <c r="I153" t="s">
        <v>95</v>
      </c>
      <c r="M153" t="s">
        <v>124</v>
      </c>
    </row>
    <row r="154" spans="8:13" hidden="1">
      <c r="I154" t="s">
        <v>96</v>
      </c>
      <c r="M154" t="s">
        <v>113</v>
      </c>
    </row>
    <row r="155" spans="8:13" hidden="1">
      <c r="I155" t="s">
        <v>97</v>
      </c>
      <c r="M155" t="s">
        <v>109</v>
      </c>
    </row>
    <row r="156" spans="8:13" hidden="1">
      <c r="I156" t="s">
        <v>98</v>
      </c>
      <c r="M156" t="s">
        <v>110</v>
      </c>
    </row>
    <row r="157" spans="8:13" hidden="1">
      <c r="I157" t="s">
        <v>99</v>
      </c>
      <c r="M157" t="s">
        <v>42</v>
      </c>
    </row>
    <row r="158" spans="8:13" hidden="1">
      <c r="I158" t="s">
        <v>100</v>
      </c>
      <c r="M158" t="s">
        <v>111</v>
      </c>
    </row>
    <row r="159" spans="8:13" hidden="1">
      <c r="I159" t="s">
        <v>101</v>
      </c>
    </row>
    <row r="160" spans="8:13" hidden="1">
      <c r="I160" t="s">
        <v>102</v>
      </c>
    </row>
    <row r="161" spans="9:21" hidden="1">
      <c r="I161" t="s">
        <v>103</v>
      </c>
    </row>
    <row r="165" spans="9:21" hidden="1">
      <c r="M165">
        <v>2025</v>
      </c>
      <c r="N165">
        <v>2026</v>
      </c>
      <c r="O165">
        <v>2027</v>
      </c>
      <c r="P165">
        <v>2028</v>
      </c>
      <c r="Q165">
        <v>2029</v>
      </c>
      <c r="R165">
        <v>2030</v>
      </c>
      <c r="S165">
        <v>2031</v>
      </c>
      <c r="T165">
        <v>2032</v>
      </c>
      <c r="U165">
        <v>2033</v>
      </c>
    </row>
    <row r="166" spans="9:21" hidden="1">
      <c r="J166" s="16" t="s">
        <v>119</v>
      </c>
      <c r="M166" s="27">
        <v>0.01</v>
      </c>
      <c r="N166" s="18">
        <f>((Q9-P9)/P9)</f>
        <v>2.4028411775546418E-2</v>
      </c>
      <c r="O166" s="18">
        <f t="shared" ref="O166:U166" si="21">((R9-Q9)/Q9)</f>
        <v>2.417941475590157E-2</v>
      </c>
      <c r="P166" s="18">
        <f t="shared" si="21"/>
        <v>2.3441066699365184E-2</v>
      </c>
      <c r="Q166" s="18">
        <f t="shared" si="21"/>
        <v>2.392790819077292E-2</v>
      </c>
      <c r="R166" s="18">
        <f t="shared" si="21"/>
        <v>2.4183640208279261E-2</v>
      </c>
      <c r="S166" s="18">
        <f t="shared" si="21"/>
        <v>2.3934943957303969E-2</v>
      </c>
      <c r="T166" s="18">
        <f t="shared" si="21"/>
        <v>2.3691257516527342E-2</v>
      </c>
      <c r="U166" s="18">
        <f t="shared" si="21"/>
        <v>2.4396901813892851E-2</v>
      </c>
    </row>
    <row r="167" spans="9:21" hidden="1">
      <c r="J167" s="16" t="s">
        <v>120</v>
      </c>
      <c r="M167" s="27">
        <v>0.01</v>
      </c>
      <c r="N167" s="27">
        <v>0.01</v>
      </c>
      <c r="O167" s="27">
        <v>0.01</v>
      </c>
      <c r="P167" s="27">
        <v>0.01</v>
      </c>
      <c r="Q167" s="27">
        <v>0.01</v>
      </c>
      <c r="R167" s="18">
        <f>((U9-T9)/T9)</f>
        <v>2.4183640208279261E-2</v>
      </c>
      <c r="S167" s="18">
        <f t="shared" ref="S167:U167" si="22">((V9-U9)/U9)</f>
        <v>2.3934943957303969E-2</v>
      </c>
      <c r="T167" s="18">
        <f t="shared" si="22"/>
        <v>2.3691257516527342E-2</v>
      </c>
      <c r="U167" s="18">
        <f t="shared" si="22"/>
        <v>2.4396901813892851E-2</v>
      </c>
    </row>
  </sheetData>
  <sheetProtection algorithmName="SHA-512" hashValue="eeUuy6BNDrWuaNF89/5Y9JAT50Q+xtqfmo0HBsAYOBDkrk58QOfWGEj1ZHXzlGVN5DObAsv83/4Tguc51HB8FQ==" saltValue="apnhRxHhAOuP7BWqA6ex+g==" spinCount="100000" sheet="1" objects="1" scenarios="1"/>
  <mergeCells count="16">
    <mergeCell ref="G28:X29"/>
    <mergeCell ref="G30:X33"/>
    <mergeCell ref="K26:N26"/>
    <mergeCell ref="F26:J26"/>
    <mergeCell ref="K1:U2"/>
    <mergeCell ref="G18:J18"/>
    <mergeCell ref="G20:J20"/>
    <mergeCell ref="K23:M23"/>
    <mergeCell ref="K24:M24"/>
    <mergeCell ref="Q16:X16"/>
    <mergeCell ref="L4:N4"/>
    <mergeCell ref="R4:T4"/>
    <mergeCell ref="L6:N6"/>
    <mergeCell ref="O6:Q6"/>
    <mergeCell ref="G16:J16"/>
    <mergeCell ref="G22:H25"/>
  </mergeCells>
  <conditionalFormatting sqref="K6">
    <cfRule type="expression" dxfId="27" priority="6">
      <formula>$L$4="Custom Level"</formula>
    </cfRule>
  </conditionalFormatting>
  <conditionalFormatting sqref="L16">
    <cfRule type="expression" dxfId="26" priority="14">
      <formula>$K$16&lt;0</formula>
    </cfRule>
  </conditionalFormatting>
  <conditionalFormatting sqref="L18">
    <cfRule type="expression" dxfId="25" priority="13">
      <formula>$K$18&lt;0</formula>
    </cfRule>
  </conditionalFormatting>
  <conditionalFormatting sqref="L20">
    <cfRule type="expression" dxfId="24" priority="12">
      <formula>$K$20&lt;0</formula>
    </cfRule>
  </conditionalFormatting>
  <conditionalFormatting sqref="L6:N6">
    <cfRule type="expression" dxfId="23" priority="9">
      <formula>$L$4="Custom Level"</formula>
    </cfRule>
  </conditionalFormatting>
  <conditionalFormatting sqref="N13">
    <cfRule type="expression" dxfId="22" priority="1">
      <formula>$L$4="Custom Growth Rate"</formula>
    </cfRule>
    <cfRule type="expression" dxfId="21" priority="5">
      <formula>$R$4="Custom Growth Rates"</formula>
    </cfRule>
  </conditionalFormatting>
  <conditionalFormatting sqref="N16">
    <cfRule type="expression" dxfId="20" priority="11">
      <formula>$M$16&lt;0</formula>
    </cfRule>
  </conditionalFormatting>
  <conditionalFormatting sqref="N18">
    <cfRule type="expression" dxfId="19" priority="10">
      <formula>$M$18&lt;0</formula>
    </cfRule>
  </conditionalFormatting>
  <conditionalFormatting sqref="O13">
    <cfRule type="expression" dxfId="18" priority="4">
      <formula>$L$4="Custom Growth Rate"</formula>
    </cfRule>
  </conditionalFormatting>
  <conditionalFormatting sqref="P13:X13">
    <cfRule type="expression" dxfId="17" priority="2">
      <formula>$R$4="Custom Growth Rates"</formula>
    </cfRule>
  </conditionalFormatting>
  <dataValidations count="2">
    <dataValidation type="list" allowBlank="1" showInputMessage="1" showErrorMessage="1" sqref="R4:T4" xr:uid="{CBA59809-5F9B-4B25-9CF9-A54F51D87597}">
      <formula1>$M$148:$M$158</formula1>
    </dataValidation>
    <dataValidation type="list" allowBlank="1" showInputMessage="1" showErrorMessage="1" sqref="L4:N4" xr:uid="{2E6237EC-E85A-414C-A9F3-BAD49C6DF3C3}">
      <formula1>$I$148:$I$161</formula1>
    </dataValidation>
  </dataValidations>
  <hyperlinks>
    <hyperlink ref="L139" r:id="rId1" xr:uid="{86D63FBF-2E81-4C06-BF1E-584E27810B46}"/>
    <hyperlink ref="K26" r:id="rId2" xr:uid="{2A6BBA34-34EF-446D-ABC0-BA4EE550BCCD}"/>
    <hyperlink ref="L141" r:id="rId3" xr:uid="{5D8C0506-6AF9-422E-BBEE-A76B12226F27}"/>
  </hyperlinks>
  <pageMargins left="0.7" right="0.7" top="0.75" bottom="0.75" header="0.3" footer="0.3"/>
  <pageSetup orientation="portrait"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4FB96-B70E-4BD4-B920-4710E678263C}">
  <sheetPr codeName="Sheet2"/>
  <dimension ref="A1:AO183"/>
  <sheetViews>
    <sheetView showGridLines="0" showRowColHeaders="0" topLeftCell="E1" zoomScaleNormal="100" workbookViewId="0">
      <selection activeCell="L4" sqref="L4:N4"/>
    </sheetView>
  </sheetViews>
  <sheetFormatPr defaultColWidth="0" defaultRowHeight="14.4" customHeight="1" zeroHeight="1"/>
  <cols>
    <col min="1" max="1" width="8.44140625" hidden="1" customWidth="1"/>
    <col min="2" max="3" width="9.109375" hidden="1" customWidth="1"/>
    <col min="4" max="4" width="8.88671875" hidden="1" customWidth="1"/>
    <col min="5" max="26" width="8.88671875" customWidth="1"/>
    <col min="27" max="29" width="8.88671875" hidden="1" customWidth="1"/>
    <col min="30" max="30" width="10.6640625" hidden="1" customWidth="1"/>
    <col min="31" max="16384" width="8.88671875" hidden="1"/>
  </cols>
  <sheetData>
    <row r="1" spans="1:30" ht="17.399999999999999">
      <c r="A1" s="1"/>
      <c r="B1" s="1"/>
      <c r="C1" s="1"/>
      <c r="D1" s="1"/>
      <c r="E1" s="1"/>
      <c r="F1" s="1"/>
      <c r="G1" s="1"/>
      <c r="H1" s="29"/>
      <c r="I1" s="29"/>
      <c r="J1" s="29"/>
      <c r="K1" s="114" t="s">
        <v>59</v>
      </c>
      <c r="L1" s="114"/>
      <c r="M1" s="114"/>
      <c r="N1" s="114"/>
      <c r="O1" s="114"/>
      <c r="P1" s="114"/>
      <c r="Q1" s="114"/>
      <c r="R1" s="114"/>
      <c r="S1" s="114"/>
      <c r="T1" s="114"/>
      <c r="U1" s="114"/>
      <c r="V1" s="30"/>
      <c r="W1" s="30"/>
      <c r="X1" s="29"/>
      <c r="Y1" s="1"/>
      <c r="Z1" s="1"/>
      <c r="AA1" s="1"/>
      <c r="AB1" s="1"/>
      <c r="AC1" s="1"/>
      <c r="AD1" s="1"/>
    </row>
    <row r="2" spans="1:30" ht="15" customHeight="1">
      <c r="A2" s="1"/>
      <c r="B2" s="1"/>
      <c r="C2" s="1"/>
      <c r="D2" s="1"/>
      <c r="E2" s="1"/>
      <c r="F2" s="1"/>
      <c r="G2" s="1"/>
      <c r="H2" s="28"/>
      <c r="I2" s="28"/>
      <c r="J2" s="28"/>
      <c r="K2" s="114"/>
      <c r="L2" s="114"/>
      <c r="M2" s="114"/>
      <c r="N2" s="114"/>
      <c r="O2" s="114"/>
      <c r="P2" s="114"/>
      <c r="Q2" s="114"/>
      <c r="R2" s="114"/>
      <c r="S2" s="114"/>
      <c r="T2" s="114"/>
      <c r="U2" s="114"/>
      <c r="V2" s="30"/>
      <c r="W2" s="30"/>
      <c r="X2" s="28"/>
      <c r="Y2" s="1"/>
      <c r="Z2" s="1"/>
      <c r="AA2" s="1"/>
      <c r="AB2" s="1"/>
      <c r="AC2" s="1"/>
      <c r="AD2" s="1"/>
    </row>
    <row r="3" spans="1:30" ht="20.399999999999999" customHeight="1">
      <c r="A3" s="1"/>
      <c r="B3" s="1"/>
      <c r="C3" s="1"/>
      <c r="D3" s="1"/>
      <c r="E3" s="1"/>
      <c r="F3" s="1"/>
      <c r="G3" s="1"/>
      <c r="H3" s="1"/>
      <c r="I3" s="1"/>
      <c r="J3" s="1"/>
      <c r="K3" s="1"/>
      <c r="L3" s="1"/>
      <c r="M3" s="21" t="s">
        <v>40</v>
      </c>
      <c r="N3" s="1"/>
      <c r="O3" s="1"/>
      <c r="P3" s="1"/>
      <c r="Q3" s="1"/>
      <c r="R3" s="1"/>
      <c r="S3" s="21" t="s">
        <v>41</v>
      </c>
      <c r="T3" s="1"/>
      <c r="U3" s="1"/>
      <c r="V3" s="1"/>
      <c r="W3" s="1"/>
      <c r="X3" s="1"/>
      <c r="Y3" s="1"/>
      <c r="Z3" s="1"/>
      <c r="AA3" s="1"/>
      <c r="AB3" s="1"/>
      <c r="AC3" s="1"/>
      <c r="AD3" s="1"/>
    </row>
    <row r="4" spans="1:30" ht="14.4" customHeight="1">
      <c r="A4" s="1"/>
      <c r="B4" s="1"/>
      <c r="C4" s="1"/>
      <c r="D4" s="1"/>
      <c r="E4" s="1"/>
      <c r="F4" s="1"/>
      <c r="G4" s="1"/>
      <c r="H4" s="13"/>
      <c r="I4" s="13"/>
      <c r="J4" s="13"/>
      <c r="K4" s="15" t="s">
        <v>64</v>
      </c>
      <c r="L4" s="125" t="s">
        <v>125</v>
      </c>
      <c r="M4" s="125"/>
      <c r="N4" s="125"/>
      <c r="O4" s="37"/>
      <c r="P4" s="38" t="s">
        <v>74</v>
      </c>
      <c r="Q4" s="36"/>
      <c r="R4" s="126" t="s">
        <v>123</v>
      </c>
      <c r="S4" s="126"/>
      <c r="T4" s="126"/>
      <c r="U4" s="90" t="s">
        <v>64</v>
      </c>
      <c r="V4" s="1"/>
      <c r="W4" s="1"/>
      <c r="X4" s="1"/>
      <c r="Y4" s="1"/>
      <c r="Z4" s="1"/>
      <c r="AA4" s="1"/>
      <c r="AB4" s="1"/>
      <c r="AC4" s="1"/>
      <c r="AD4" s="1"/>
    </row>
    <row r="5" spans="1:30" ht="3.6" customHeight="1">
      <c r="A5" s="1"/>
      <c r="B5" s="1"/>
      <c r="C5" s="1"/>
      <c r="D5" s="1"/>
      <c r="E5" s="1"/>
      <c r="F5" s="1"/>
      <c r="G5" s="1"/>
      <c r="H5" s="13"/>
      <c r="I5" s="13"/>
      <c r="J5" s="13"/>
      <c r="K5" s="1"/>
      <c r="L5" s="1"/>
      <c r="M5" s="1"/>
      <c r="N5" s="1"/>
      <c r="O5" s="1"/>
      <c r="P5" s="1"/>
      <c r="Q5" s="1"/>
      <c r="R5" s="1"/>
      <c r="S5" s="1"/>
      <c r="T5" s="13"/>
      <c r="U5" s="13"/>
      <c r="V5" s="13"/>
      <c r="W5" s="13"/>
      <c r="X5" s="13"/>
      <c r="Y5" s="13"/>
      <c r="Z5" s="13"/>
      <c r="AA5" s="1"/>
      <c r="AB5" s="1"/>
      <c r="AC5" s="1"/>
      <c r="AD5" s="1"/>
    </row>
    <row r="6" spans="1:30">
      <c r="A6" s="1"/>
      <c r="B6" s="1"/>
      <c r="C6" s="1"/>
      <c r="D6" s="1"/>
      <c r="E6" s="1"/>
      <c r="F6" s="1"/>
      <c r="G6" s="1"/>
      <c r="H6" s="1"/>
      <c r="I6" s="1"/>
      <c r="J6" s="13"/>
      <c r="K6" s="98" t="s">
        <v>58</v>
      </c>
      <c r="L6" s="127">
        <v>884.024</v>
      </c>
      <c r="M6" s="127"/>
      <c r="N6" s="127"/>
      <c r="O6" s="128"/>
      <c r="P6" s="128"/>
      <c r="Q6" s="128"/>
      <c r="R6" s="1"/>
      <c r="S6" s="1"/>
      <c r="T6" s="1"/>
      <c r="U6" s="1"/>
      <c r="V6" s="1"/>
      <c r="W6" s="1"/>
      <c r="X6" s="1"/>
      <c r="Y6" s="1"/>
      <c r="Z6" s="1"/>
      <c r="AA6" s="1"/>
      <c r="AB6" s="1"/>
      <c r="AC6" s="1"/>
      <c r="AD6" s="1"/>
    </row>
    <row r="7" spans="1:30" ht="3.6" customHeight="1">
      <c r="A7" s="1"/>
      <c r="B7" s="1"/>
      <c r="C7" s="1"/>
      <c r="D7" s="1"/>
      <c r="E7" s="1"/>
      <c r="F7" s="1"/>
      <c r="G7" s="1"/>
      <c r="H7" s="1"/>
      <c r="I7" s="19"/>
      <c r="J7" s="13"/>
      <c r="K7" s="20"/>
      <c r="L7" s="19"/>
      <c r="M7" s="19"/>
      <c r="N7" s="19"/>
      <c r="O7" s="19"/>
      <c r="P7" s="19"/>
      <c r="Q7" s="20"/>
      <c r="R7" s="19"/>
      <c r="S7" s="19"/>
      <c r="T7" s="19"/>
      <c r="U7" s="1"/>
      <c r="V7" s="1"/>
      <c r="W7" s="1"/>
      <c r="X7" s="1"/>
      <c r="Y7" s="1"/>
      <c r="Z7" s="1"/>
      <c r="AA7" s="1"/>
      <c r="AB7" s="1"/>
      <c r="AC7" s="1"/>
      <c r="AD7" s="1"/>
    </row>
    <row r="8" spans="1:30" ht="14.25" customHeight="1">
      <c r="A8" s="1"/>
      <c r="B8" s="1"/>
      <c r="C8" s="1"/>
      <c r="D8" s="1"/>
      <c r="E8" s="1"/>
      <c r="F8" s="1"/>
      <c r="G8" s="1"/>
      <c r="H8" s="1"/>
      <c r="I8" s="19"/>
      <c r="J8" s="13"/>
      <c r="K8" s="15" t="s">
        <v>65</v>
      </c>
      <c r="L8" s="135" t="s">
        <v>125</v>
      </c>
      <c r="M8" s="135"/>
      <c r="N8" s="135"/>
      <c r="O8" s="19"/>
      <c r="P8" s="19"/>
      <c r="Q8" s="20"/>
      <c r="R8" s="126" t="s">
        <v>123</v>
      </c>
      <c r="S8" s="126"/>
      <c r="T8" s="126"/>
      <c r="U8" s="90" t="s">
        <v>65</v>
      </c>
      <c r="V8" s="1"/>
      <c r="W8" s="1"/>
      <c r="X8" s="1"/>
      <c r="Y8" s="1"/>
      <c r="Z8" s="1"/>
      <c r="AA8" s="1"/>
      <c r="AB8" s="1"/>
      <c r="AC8" s="1"/>
      <c r="AD8" s="1"/>
    </row>
    <row r="9" spans="1:30" ht="3.45" customHeight="1">
      <c r="A9" s="1"/>
      <c r="B9" s="1"/>
      <c r="C9" s="1"/>
      <c r="D9" s="1"/>
      <c r="E9" s="1"/>
      <c r="F9" s="1"/>
      <c r="G9" s="1"/>
      <c r="H9" s="1"/>
      <c r="I9" s="19"/>
      <c r="J9" s="13"/>
      <c r="K9" s="15"/>
      <c r="L9" s="1"/>
      <c r="M9" s="1"/>
      <c r="N9" s="1"/>
      <c r="O9" s="1"/>
      <c r="P9" s="1"/>
      <c r="Q9" s="1"/>
      <c r="R9" s="1"/>
      <c r="S9" s="1"/>
      <c r="T9" s="1"/>
      <c r="U9" s="1"/>
      <c r="V9" s="1"/>
      <c r="W9" s="1"/>
      <c r="X9" s="1"/>
      <c r="Y9" s="1"/>
      <c r="Z9" s="1"/>
      <c r="AA9" s="1"/>
      <c r="AB9" s="1"/>
      <c r="AC9" s="1"/>
      <c r="AD9" s="1"/>
    </row>
    <row r="10" spans="1:30" ht="16.95" customHeight="1">
      <c r="A10" s="1"/>
      <c r="B10" s="1"/>
      <c r="C10" s="1"/>
      <c r="D10" s="1"/>
      <c r="E10" s="1"/>
      <c r="F10" s="1"/>
      <c r="G10" s="1"/>
      <c r="H10" s="1"/>
      <c r="I10" s="19"/>
      <c r="J10" s="19"/>
      <c r="K10" s="98" t="s">
        <v>58</v>
      </c>
      <c r="L10" s="127">
        <v>815.73299999999995</v>
      </c>
      <c r="M10" s="127"/>
      <c r="N10" s="127"/>
      <c r="O10" s="19"/>
      <c r="P10" s="19"/>
      <c r="Q10" s="20"/>
      <c r="R10" s="19"/>
      <c r="S10" s="19"/>
      <c r="T10" s="19"/>
      <c r="U10" s="1"/>
      <c r="V10" s="1"/>
      <c r="W10" s="1"/>
      <c r="X10" s="1"/>
      <c r="Y10" s="1"/>
      <c r="Z10" s="1"/>
      <c r="AA10" s="1"/>
      <c r="AB10" s="1"/>
      <c r="AC10" s="1"/>
      <c r="AD10" s="1"/>
    </row>
    <row r="11" spans="1:30" ht="3.6" customHeight="1" thickBot="1">
      <c r="A11" s="1"/>
      <c r="B11" s="1"/>
      <c r="C11" s="1"/>
      <c r="D11" s="1"/>
      <c r="E11" s="1"/>
      <c r="F11" s="1"/>
      <c r="G11" s="1"/>
      <c r="H11" s="1"/>
      <c r="I11" s="19"/>
      <c r="J11" s="19"/>
      <c r="K11" s="20"/>
      <c r="L11" s="19"/>
      <c r="M11" s="19"/>
      <c r="N11" s="19"/>
      <c r="O11" s="19"/>
      <c r="P11" s="19"/>
      <c r="Q11" s="20"/>
      <c r="R11" s="19"/>
      <c r="S11" s="19"/>
      <c r="T11" s="19"/>
      <c r="U11" s="1"/>
      <c r="V11" s="1"/>
      <c r="W11" s="1"/>
      <c r="X11" s="1"/>
      <c r="Y11" s="1"/>
      <c r="Z11" s="1"/>
      <c r="AA11" s="1"/>
      <c r="AB11" s="1"/>
      <c r="AC11" s="1"/>
      <c r="AD11" s="1"/>
    </row>
    <row r="12" spans="1:30" ht="21.6" customHeight="1">
      <c r="A12" s="1"/>
      <c r="B12" s="1"/>
      <c r="C12" s="1"/>
      <c r="D12" s="1"/>
      <c r="E12" s="1"/>
      <c r="F12" s="78" t="s">
        <v>47</v>
      </c>
      <c r="G12" s="34"/>
      <c r="H12" s="34"/>
      <c r="I12" s="31"/>
      <c r="J12" s="32">
        <v>2019</v>
      </c>
      <c r="K12" s="32">
        <v>2020</v>
      </c>
      <c r="L12" s="32">
        <v>2021</v>
      </c>
      <c r="M12" s="32">
        <v>2022</v>
      </c>
      <c r="N12" s="32">
        <v>2023</v>
      </c>
      <c r="O12" s="32">
        <v>2024</v>
      </c>
      <c r="P12" s="32">
        <v>2025</v>
      </c>
      <c r="Q12" s="32">
        <v>2026</v>
      </c>
      <c r="R12" s="32">
        <v>2027</v>
      </c>
      <c r="S12" s="32">
        <v>2028</v>
      </c>
      <c r="T12" s="32">
        <v>2029</v>
      </c>
      <c r="U12" s="32">
        <v>2030</v>
      </c>
      <c r="V12" s="32">
        <v>2031</v>
      </c>
      <c r="W12" s="32">
        <v>2032</v>
      </c>
      <c r="X12" s="32">
        <v>2033</v>
      </c>
      <c r="Y12" s="33"/>
      <c r="Z12" s="1"/>
      <c r="AA12" s="1"/>
      <c r="AB12" s="1"/>
      <c r="AC12" s="1"/>
      <c r="AD12" s="1"/>
    </row>
    <row r="13" spans="1:30" ht="18.600000000000001" thickBot="1">
      <c r="A13" s="1"/>
      <c r="B13" s="1"/>
      <c r="C13" s="1"/>
      <c r="D13" s="1"/>
      <c r="E13" s="1"/>
      <c r="F13" s="39"/>
      <c r="G13" s="76"/>
      <c r="H13" s="75" t="s">
        <v>63</v>
      </c>
      <c r="I13" s="87"/>
      <c r="J13" s="79">
        <v>716</v>
      </c>
      <c r="K13" s="79">
        <v>738</v>
      </c>
      <c r="L13" s="79">
        <v>740.5</v>
      </c>
      <c r="M13" s="79">
        <v>782.15200000000004</v>
      </c>
      <c r="N13" s="79">
        <v>858.35900000000004</v>
      </c>
      <c r="O13" s="79">
        <v>884.024</v>
      </c>
      <c r="P13" s="79">
        <v>906.798</v>
      </c>
      <c r="Q13" s="79">
        <v>929.49599999999998</v>
      </c>
      <c r="R13" s="79">
        <v>952.31399999999996</v>
      </c>
      <c r="S13" s="79">
        <v>975.20399999999995</v>
      </c>
      <c r="T13" s="79">
        <v>998.21400000000006</v>
      </c>
      <c r="U13" s="79">
        <v>1022.088</v>
      </c>
      <c r="V13" s="79">
        <v>1046.29</v>
      </c>
      <c r="W13" s="79">
        <v>1070.904</v>
      </c>
      <c r="X13" s="79">
        <v>1096.5609999999999</v>
      </c>
      <c r="Y13" s="40"/>
      <c r="Z13" s="1"/>
      <c r="AA13" s="1"/>
      <c r="AB13" s="1"/>
      <c r="AC13" s="1"/>
      <c r="AD13" s="1"/>
    </row>
    <row r="14" spans="1:30" ht="18.600000000000001" thickBot="1">
      <c r="A14" s="1"/>
      <c r="B14" s="1"/>
      <c r="C14" s="1"/>
      <c r="D14" s="1"/>
      <c r="E14" s="1"/>
      <c r="F14" s="39"/>
      <c r="G14" s="80"/>
      <c r="H14" s="81"/>
      <c r="I14" s="82" t="s">
        <v>78</v>
      </c>
      <c r="J14" s="83">
        <f>J13</f>
        <v>716</v>
      </c>
      <c r="K14" s="83">
        <f>K13</f>
        <v>738</v>
      </c>
      <c r="L14" s="83">
        <v>740.5</v>
      </c>
      <c r="M14" s="83">
        <v>782.03899999999999</v>
      </c>
      <c r="N14" s="83">
        <v>858.36199999999997</v>
      </c>
      <c r="O14" s="41" cm="1">
        <f t="array" ref="O14">_xlfn.IFS(L4="Revert to FY 2022",M13,L4="Freeze at FY 2023",N13,L4="Cut 5% Below FY 2023",N13*0.95,L4="Cut 1% Below FY 2023",N13*0.99,L4="Grow 1% Above FY 2023",N13*1.01,L4="Grow 2% Above FY 2023",N13*1.02,L4="Baseline Path",O13,L4="Custom Level",L6,L4="Custom Growth Rate",((O17+1)*N13),L4="Custom",O15,L4="Revert to FY 2021",L13,L4="Revert to FY 2020",K13,L4="Revert to FY 2019",J13,L4="Fiscal Responsibility Act (FRA)",886.349,L4="FRA with Side Agreements",886.349,L4="President's Request",J165)</f>
        <v>886.34900000000005</v>
      </c>
      <c r="P14" s="42">
        <f t="shared" ref="P14:X14" si="0">IF(AND(P15&lt;&gt;0,$L$4="Custom"),P15,O14*(1+P16))</f>
        <v>895.21249</v>
      </c>
      <c r="Q14" s="42">
        <f t="shared" si="0"/>
        <v>917.62049387519596</v>
      </c>
      <c r="R14" s="42">
        <f t="shared" si="0"/>
        <v>940.14696459615038</v>
      </c>
      <c r="S14" s="42">
        <f t="shared" si="0"/>
        <v>962.74451542455984</v>
      </c>
      <c r="T14" s="42">
        <f t="shared" si="0"/>
        <v>985.46053309872764</v>
      </c>
      <c r="U14" s="42">
        <f t="shared" si="0"/>
        <v>1009.0295120623556</v>
      </c>
      <c r="V14" s="42">
        <f t="shared" si="0"/>
        <v>1032.9223004043899</v>
      </c>
      <c r="W14" s="42">
        <f t="shared" si="0"/>
        <v>1057.2218249168614</v>
      </c>
      <c r="X14" s="43">
        <f t="shared" si="0"/>
        <v>1082.5510237637159</v>
      </c>
      <c r="Y14" s="40"/>
      <c r="Z14" s="1"/>
      <c r="AA14" s="1"/>
      <c r="AB14" s="1"/>
      <c r="AC14" s="1"/>
      <c r="AD14" s="1"/>
    </row>
    <row r="15" spans="1:30" ht="15.75" hidden="1" customHeight="1">
      <c r="A15" s="1"/>
      <c r="B15" s="1"/>
      <c r="C15" s="1"/>
      <c r="D15" s="1"/>
      <c r="E15" s="1"/>
      <c r="F15" s="39"/>
      <c r="G15" s="80"/>
      <c r="H15" s="80"/>
      <c r="I15" s="80"/>
      <c r="J15" s="80"/>
      <c r="K15" s="80"/>
      <c r="L15" s="80"/>
      <c r="M15" s="80"/>
      <c r="N15" s="80"/>
      <c r="O15" s="80"/>
      <c r="P15" s="80"/>
      <c r="Q15" s="80"/>
      <c r="R15" s="80"/>
      <c r="S15" s="80"/>
      <c r="T15" s="80"/>
      <c r="U15" s="80"/>
      <c r="V15" s="80"/>
      <c r="W15" s="80"/>
      <c r="X15" s="80"/>
      <c r="Y15" s="40"/>
      <c r="Z15" s="1"/>
      <c r="AA15" s="1"/>
      <c r="AB15" s="1"/>
      <c r="AC15" s="1"/>
      <c r="AD15" s="1"/>
    </row>
    <row r="16" spans="1:30" ht="18">
      <c r="A16" s="1"/>
      <c r="B16" s="1"/>
      <c r="C16" s="1"/>
      <c r="D16" s="1"/>
      <c r="E16" s="1"/>
      <c r="F16" s="39"/>
      <c r="G16" s="80"/>
      <c r="H16" s="84"/>
      <c r="I16" s="85" t="s">
        <v>0</v>
      </c>
      <c r="J16" s="45">
        <v>3.0098736978098964E-2</v>
      </c>
      <c r="K16" s="45">
        <f>(K14-J14)/J14</f>
        <v>3.0726256983240222E-2</v>
      </c>
      <c r="L16" s="45">
        <f>(L14-K14)/K14</f>
        <v>3.3875338753387536E-3</v>
      </c>
      <c r="M16" s="45">
        <f>(M14-L14)/L14</f>
        <v>5.6095881161377432E-2</v>
      </c>
      <c r="N16" s="45">
        <f>(N14-M14)/M14</f>
        <v>9.7594876981838483E-2</v>
      </c>
      <c r="O16" s="46">
        <f>IF(L4="Custom Growth Rate",O17,((O14-N13)/N13))</f>
        <v>3.2608733641751306E-2</v>
      </c>
      <c r="P16" s="46" cm="1">
        <f t="array" ref="P16">_xlfn.IFS(AND(P15&lt;&gt;0,$L$4="Custom"),((P15-O15)/O15),$R$4="Set Annual Growth Rate",$R$6,$R$4="Cut 1% Per Year",-1%,$R$4="Freeze",0,$R$4="Grow 1% in 2025",V172,$R$4="Grow 1% through 2029",V173,$R$4="Grow 1% Per Year",1%,$R$4="Grow 2% Per Year",2%,$R$4="Custom Growth Rates",P17,$R$4="Baseline Path",((P13-O13)/O13),$R$4="Grow with the Economy (GDP)",M135,$R$4="President's Path",M156,$R$4="Grow with Prices (GDPPI)",M144)</f>
        <v>0.01</v>
      </c>
      <c r="Q16" s="46" cm="1">
        <f t="array" ref="Q16">_xlfn.IFS(AND(Q15&lt;&gt;0,$L$4="Custom"),((Q15-P15)/P15),$R$4="Set Annual Growth Rate",$R$6,$R$4="Cut 1% Per Year",-1%,$R$4="Freeze",0,$R$4="Grow 1% in 2025",W172,$R$4="Grow 1% through 2029",W173,$R$4="Grow 1% Per Year",1%,$R$4="Grow 2% Per Year",2%,$R$4="Custom Growth Rates",Q17,$R$4="Baseline Path",((Q13-P13)/P13),$R$4="Grow with the Economy (GDP)",N135,$R$4="President's Path",N156,$R$4="Grow with Prices (GDPPI)",N144)</f>
        <v>2.5030933019261157E-2</v>
      </c>
      <c r="R16" s="46" cm="1">
        <f t="array" ref="R16">_xlfn.IFS(AND(R15&lt;&gt;0,$L$4="Custom"),((R15-Q15)/Q15),$R$4="Set Annual Growth Rate",$R$6,$R$4="Cut 1% Per Year",-1%,$R$4="Freeze",0,$R$4="Grow 1% in 2025",X172,$R$4="Grow 1% through 2029",X173,$R$4="Grow 1% Per Year",1%,$R$4="Grow 2% Per Year",2%,$R$4="Custom Growth Rates",R17,$R$4="Baseline Path",((R13-Q13)/Q13),$R$4="Grow with the Economy (GDP)",O135,$R$4="President's Path",O156,$R$4="Grow with Prices (GDPPI)",O144)</f>
        <v>2.4548787730124696E-2</v>
      </c>
      <c r="S16" s="46" cm="1">
        <f t="array" ref="S16">_xlfn.IFS(AND(S15&lt;&gt;0,$L$4="Custom"),((S15-R15)/R15),$R$4="Set Annual Growth Rate",$R$6,$R$4="Cut 1% Per Year",-1%,$R$4="Freeze",0,$R$4="Grow 1% in 2025",Y172,$R$4="Grow 1% through 2029",Y173,$R$4="Grow 1% Per Year",1%,$R$4="Grow 2% Per Year",2%,$R$4="Custom Growth Rates",S17,$R$4="Baseline Path",((S13-R13)/R13),$R$4="Grow with the Economy (GDP)",P135,$R$4="President's Path",P156,$R$4="Grow with Prices (GDPPI)",P144)</f>
        <v>2.4036189744139E-2</v>
      </c>
      <c r="T16" s="46" cm="1">
        <f t="array" ref="T16">_xlfn.IFS(AND(T15&lt;&gt;0,$L$4="Custom"),((T15-S15)/S15),$R$4="Set Annual Growth Rate",$R$6,$R$4="Cut 1% Per Year",-1%,$R$4="Freeze",0,$R$4="Grow 1% in 2025",Z172,$R$4="Grow 1% through 2029",Z173,$R$4="Grow 1% Per Year",1%,$R$4="Grow 2% Per Year",2%,$R$4="Custom Growth Rates",T17,$R$4="Baseline Path",((T13-S13)/S13),$R$4="Grow with the Economy (GDP)",Q135,$R$4="President's Path",Q156,$R$4="Grow with Prices (GDPPI)",Q144)</f>
        <v>2.3595063186779491E-2</v>
      </c>
      <c r="U16" s="46" cm="1">
        <f t="array" ref="U16">_xlfn.IFS(AND(U15&lt;&gt;0,$L$4="Custom"),((U15-T15)/T15),$R$4="Set Annual Growth Rate",$R$6,$R$4="Cut 1% Per Year",-1%,$R$4="Freeze",0,$R$4="Grow 1% in 2025",AA172,$R$4="Grow 1% through 2029",AA173,$R$4="Grow 1% Per Year",1%,$R$4="Grow 2% Per Year",2%,$R$4="Custom Growth Rates",U17,$R$4="Baseline Path",((U13-T13)/T13),$R$4="Grow with the Economy (GDP)",R135,$R$4="President's Path",R156,$R$4="Grow with Prices (GDPPI)",R144)</f>
        <v>2.3916715253442557E-2</v>
      </c>
      <c r="V16" s="46" cm="1">
        <f t="array" ref="V16">_xlfn.IFS(AND(V15&lt;&gt;0,$L$4="Custom"),((V15-U15)/U15),$R$4="Set Annual Growth Rate",$R$6,$R$4="Cut 1% Per Year",-1%,$R$4="Freeze",0,$R$4="Grow 1% in 2025",AB172,$R$4="Grow 1% through 2029",AB173,$R$4="Grow 1% Per Year",1%,$R$4="Grow 2% Per Year",2%,$R$4="Custom Growth Rates",V17,$R$4="Baseline Path",((V13-U13)/U13),$R$4="Grow with the Economy (GDP)",S135,$R$4="President's Path",S156,$R$4="Grow with Prices (GDPPI)",S144)</f>
        <v>2.3678978718075155E-2</v>
      </c>
      <c r="W16" s="46" cm="1">
        <f t="array" ref="W16">_xlfn.IFS(AND(W15&lt;&gt;0,$L$4="Custom"),((W15-V15)/V15),$R$4="Set Annual Growth Rate",$R$6,$R$4="Cut 1% Per Year",-1%,$R$4="Freeze",0,$R$4="Grow 1% in 2025",AC172,$R$4="Grow 1% through 2029",AC173,$R$4="Grow 1% Per Year",1%,$R$4="Grow 2% Per Year",2%,$R$4="Custom Growth Rates",W17,$R$4="Baseline Path",((W13-V13)/V13),$R$4="Grow with the Economy (GDP)",T135,$R$4="President's Path",T156,$R$4="Grow with Prices (GDPPI)",T144)</f>
        <v>2.352502652228353E-2</v>
      </c>
      <c r="X16" s="46" cm="1">
        <f t="array" ref="X16">_xlfn.IFS(AND(X15&lt;&gt;0,$L$4="Custom"),((X15-W15)/W15),$R$4="Set Annual Growth Rate",$R$6,$R$4="Cut 1% Per Year",-1%,$R$4="Freeze",0,$R$4="Grow 1% in 2025",AD172,$R$4="Grow 1% through 2029",AD173,$R$4="Grow 1% Per Year",1%,$R$4="Grow 2% Per Year",2%,$R$4="Custom Growth Rates",X17,$R$4="Baseline Path",((X13-W13)/W13),$R$4="Grow with the Economy (GDP)",U135,$R$4="President's Path",U156,$R$4="Grow with Prices (GDPPI)",U144)</f>
        <v>2.3958263299044477E-2</v>
      </c>
      <c r="Y16" s="40"/>
      <c r="Z16" s="1"/>
      <c r="AA16" s="1"/>
      <c r="AB16" s="1"/>
      <c r="AC16" s="1"/>
      <c r="AD16" s="1"/>
    </row>
    <row r="17" spans="1:30" ht="15.6">
      <c r="A17" s="1"/>
      <c r="B17" s="1"/>
      <c r="C17" s="1"/>
      <c r="D17" s="1"/>
      <c r="E17" s="1"/>
      <c r="F17" s="39"/>
      <c r="G17" s="76"/>
      <c r="H17" s="76"/>
      <c r="I17" s="76"/>
      <c r="J17" s="76"/>
      <c r="K17" s="76"/>
      <c r="L17" s="76"/>
      <c r="M17" s="76"/>
      <c r="N17" s="99" t="s">
        <v>79</v>
      </c>
      <c r="O17" s="100">
        <v>2.9900076774403199E-2</v>
      </c>
      <c r="P17" s="100">
        <v>2.5761744025049094E-2</v>
      </c>
      <c r="Q17" s="100">
        <v>2.5030933019261157E-2</v>
      </c>
      <c r="R17" s="100">
        <v>2.4548787730124696E-2</v>
      </c>
      <c r="S17" s="100">
        <v>2.4036189744139E-2</v>
      </c>
      <c r="T17" s="100">
        <v>2.3595063186779491E-2</v>
      </c>
      <c r="U17" s="100">
        <v>2.3916715253442557E-2</v>
      </c>
      <c r="V17" s="100">
        <v>2.3678978718075155E-2</v>
      </c>
      <c r="W17" s="100">
        <v>2.352502652228353E-2</v>
      </c>
      <c r="X17" s="100">
        <v>2.3958263299044477E-2</v>
      </c>
      <c r="Y17" s="40"/>
      <c r="Z17" s="1"/>
      <c r="AA17" s="1"/>
      <c r="AB17" s="1"/>
      <c r="AC17" s="1"/>
      <c r="AD17" s="1"/>
    </row>
    <row r="18" spans="1:30" ht="1.95" customHeight="1" thickBot="1">
      <c r="A18" s="1"/>
      <c r="B18" s="1"/>
      <c r="C18" s="1"/>
      <c r="D18" s="1"/>
      <c r="E18" s="1"/>
      <c r="F18" s="47"/>
      <c r="G18" s="48"/>
      <c r="H18" s="48"/>
      <c r="I18" s="48"/>
      <c r="J18" s="48"/>
      <c r="K18" s="48"/>
      <c r="L18" s="48"/>
      <c r="M18" s="48"/>
      <c r="N18" s="48"/>
      <c r="O18" s="48"/>
      <c r="P18" s="48"/>
      <c r="Q18" s="48"/>
      <c r="R18" s="48"/>
      <c r="S18" s="48"/>
      <c r="T18" s="48"/>
      <c r="U18" s="48"/>
      <c r="V18" s="48"/>
      <c r="W18" s="48"/>
      <c r="X18" s="48"/>
      <c r="Y18" s="49"/>
      <c r="Z18" s="1"/>
      <c r="AA18" s="1"/>
      <c r="AB18" s="1"/>
      <c r="AC18" s="1"/>
      <c r="AD18" s="1"/>
    </row>
    <row r="19" spans="1:30" ht="21.6" customHeight="1">
      <c r="A19" s="1"/>
      <c r="B19" s="1"/>
      <c r="C19" s="1"/>
      <c r="D19" s="1"/>
      <c r="E19" s="1"/>
      <c r="F19" s="68" t="s">
        <v>47</v>
      </c>
      <c r="G19" s="69"/>
      <c r="H19" s="69"/>
      <c r="I19" s="91"/>
      <c r="J19" s="70">
        <v>2019</v>
      </c>
      <c r="K19" s="70">
        <v>2020</v>
      </c>
      <c r="L19" s="70">
        <v>2021</v>
      </c>
      <c r="M19" s="70">
        <v>2022</v>
      </c>
      <c r="N19" s="70">
        <v>2023</v>
      </c>
      <c r="O19" s="70">
        <v>2024</v>
      </c>
      <c r="P19" s="70">
        <v>2025</v>
      </c>
      <c r="Q19" s="70">
        <v>2026</v>
      </c>
      <c r="R19" s="70">
        <v>2027</v>
      </c>
      <c r="S19" s="70">
        <v>2028</v>
      </c>
      <c r="T19" s="70">
        <v>2029</v>
      </c>
      <c r="U19" s="70">
        <v>2030</v>
      </c>
      <c r="V19" s="70">
        <v>2031</v>
      </c>
      <c r="W19" s="70">
        <v>2032</v>
      </c>
      <c r="X19" s="70">
        <v>2033</v>
      </c>
      <c r="Y19" s="71"/>
      <c r="Z19" s="1"/>
      <c r="AA19" s="1"/>
      <c r="AB19" s="1"/>
      <c r="AC19" s="1"/>
      <c r="AD19" s="1"/>
    </row>
    <row r="20" spans="1:30" ht="18.600000000000001" thickBot="1">
      <c r="A20" s="1"/>
      <c r="B20" s="1"/>
      <c r="C20" s="1"/>
      <c r="D20" s="1"/>
      <c r="E20" s="1"/>
      <c r="F20" s="39"/>
      <c r="G20" s="76"/>
      <c r="H20" s="75" t="s">
        <v>66</v>
      </c>
      <c r="I20" s="39"/>
      <c r="J20" s="79">
        <v>605</v>
      </c>
      <c r="K20" s="79">
        <v>629.5</v>
      </c>
      <c r="L20" s="79">
        <v>634.5</v>
      </c>
      <c r="M20" s="79">
        <v>688.827</v>
      </c>
      <c r="N20" s="79">
        <v>743.88800000000003</v>
      </c>
      <c r="O20" s="79">
        <v>815.73299999999995</v>
      </c>
      <c r="P20" s="79">
        <v>835.01499999999999</v>
      </c>
      <c r="Q20" s="79">
        <v>854.17</v>
      </c>
      <c r="R20" s="79">
        <v>874.48</v>
      </c>
      <c r="S20" s="79">
        <v>894.41200000000003</v>
      </c>
      <c r="T20" s="79">
        <v>916.13800000000003</v>
      </c>
      <c r="U20" s="79">
        <v>938.56</v>
      </c>
      <c r="V20" s="79">
        <v>961.28599999999994</v>
      </c>
      <c r="W20" s="79">
        <v>984.23400000000004</v>
      </c>
      <c r="X20" s="79">
        <v>1008.716</v>
      </c>
      <c r="Y20" s="40"/>
      <c r="Z20" s="1"/>
      <c r="AA20" s="1"/>
      <c r="AB20" s="1"/>
      <c r="AC20" s="1"/>
      <c r="AD20" s="1"/>
    </row>
    <row r="21" spans="1:30" ht="18.600000000000001" thickBot="1">
      <c r="A21" s="1"/>
      <c r="B21" s="1"/>
      <c r="C21" s="1"/>
      <c r="D21" s="1"/>
      <c r="E21" s="1"/>
      <c r="F21" s="39"/>
      <c r="G21" s="80"/>
      <c r="H21" s="81"/>
      <c r="I21" s="82" t="s">
        <v>78</v>
      </c>
      <c r="J21" s="83">
        <f t="shared" ref="J21:K21" si="1">J20</f>
        <v>605</v>
      </c>
      <c r="K21" s="83">
        <f t="shared" si="1"/>
        <v>629.5</v>
      </c>
      <c r="L21" s="83">
        <f>L20</f>
        <v>634.5</v>
      </c>
      <c r="M21" s="83">
        <f>M20</f>
        <v>688.827</v>
      </c>
      <c r="N21" s="83">
        <f>N20</f>
        <v>743.88800000000003</v>
      </c>
      <c r="O21" s="41" cm="1">
        <f t="array" ref="O21">_xlfn.IFS(L8="Revert to FY 2022",M20,L8="Freeze at FY 2023",N20,L8="Cut 5% Below FY 2023",N20*0.95,L8="Cut 1% Below FY 2023",N20*0.99,L8="Grow 1% Above FY 2023",N20*1.01,L8="Grow 2% Above FY 2023",N20*1.02,L8="Baseline Path",O20,L8="Custom Level",L10,L8="Custom Growth Rate",((O23+1)*N20),L8="Custom",O22,L8="Revert to FY 2021",L20,L8="Revert to FY 2020",K20,L8="Revert to FY 2019",J20,L8="Fiscal Responsibility Act (FRA)",703.651,L8="FRA with Side Agreements",703.651+41.555,L8="President's Request",J166)</f>
        <v>703.65099999999995</v>
      </c>
      <c r="P21" s="42">
        <f>O21*(1+P22)</f>
        <v>710.68750999999997</v>
      </c>
      <c r="Q21" s="42">
        <f t="shared" ref="Q21:X21" si="2">P21*(1+Q22)</f>
        <v>726.99047372406471</v>
      </c>
      <c r="R21" s="42">
        <f t="shared" si="2"/>
        <v>744.27646658419303</v>
      </c>
      <c r="S21" s="42">
        <f t="shared" si="2"/>
        <v>761.24074081797335</v>
      </c>
      <c r="T21" s="42">
        <f t="shared" si="2"/>
        <v>779.73190186569104</v>
      </c>
      <c r="U21" s="42">
        <f t="shared" si="2"/>
        <v>798.81543371747807</v>
      </c>
      <c r="V21" s="42">
        <f t="shared" si="2"/>
        <v>818.15770224230687</v>
      </c>
      <c r="W21" s="42">
        <f t="shared" si="2"/>
        <v>837.6889166270546</v>
      </c>
      <c r="X21" s="43">
        <f t="shared" si="2"/>
        <v>858.52572988169061</v>
      </c>
      <c r="Y21" s="40"/>
      <c r="Z21" s="1"/>
      <c r="AA21" s="1"/>
      <c r="AB21" s="1"/>
      <c r="AC21" s="1"/>
      <c r="AD21" s="1"/>
    </row>
    <row r="22" spans="1:30" ht="18">
      <c r="A22" s="1"/>
      <c r="B22" s="1"/>
      <c r="C22" s="1"/>
      <c r="D22" s="1"/>
      <c r="E22" s="1"/>
      <c r="F22" s="39"/>
      <c r="G22" s="80"/>
      <c r="H22" s="84"/>
      <c r="I22" s="85" t="s">
        <v>0</v>
      </c>
      <c r="J22" s="45">
        <v>2.3657485897214586E-2</v>
      </c>
      <c r="K22" s="45">
        <f>(K20-J20)/J20</f>
        <v>4.049586776859504E-2</v>
      </c>
      <c r="L22" s="45">
        <f>(L20-K20)/K20</f>
        <v>7.9428117553613977E-3</v>
      </c>
      <c r="M22" s="45">
        <f>(M20-L20)/L20</f>
        <v>8.5621749408983455E-2</v>
      </c>
      <c r="N22" s="45">
        <f>(N20-M20)/M20</f>
        <v>7.9934439271399108E-2</v>
      </c>
      <c r="O22" s="46">
        <f>IF(L8="Custom Growth Rate",O23,((O21-N20)/N20))</f>
        <v>-5.4090131847805152E-2</v>
      </c>
      <c r="P22" s="46" cm="1">
        <f t="array" ref="P22">_xlfn.IFS($R$8="Cut 1% Per Year",-1%,$R$8="Freeze",0,$R$8="Grow 1% in 2025",V176,$R$8="Grow 1% through 2029",V177,$R$8="Grow 1% Per Year",1%,$R$8="Grow 2% Per Year",2%,$R$8="Custom Growth Rates",P23,$R$8="Baseline Path",((P20-O20)/O20),$R$8="Grow with the Economy (GDP)",M135,$R$8="President's Path",M160,$R$8="Grow with Prices (GDPPI)",M144)</f>
        <v>0.01</v>
      </c>
      <c r="Q22" s="46" cm="1">
        <f t="array" ref="Q22">_xlfn.IFS($R$8="Cut 1% Per Year",-1%,$R$8="Freeze",0,$R$8="Grow 1% in 2025",W176,$R$8="Grow 1% through 2029",W177,$R$8="Grow 1% Per Year",1%,$R$8="Grow 2% Per Year",2%,$R$8="Custom Growth Rates",Q23,$R$8="Baseline Path",((Q20-P20)/P20),$R$8="Grow with the Economy (GDP)",N135,$R$8="President's Path",N160,$R$8="Grow with Prices (GDPPI)",N144)</f>
        <v>2.2939707669922066E-2</v>
      </c>
      <c r="R22" s="46" cm="1">
        <f t="array" ref="R22">_xlfn.IFS($R$8="Cut 1% Per Year",-1%,$R$8="Freeze",0,$R$8="Grow 1% in 2025",X176,$R$8="Grow 1% through 2029",X177,$R$8="Grow 1% Per Year",1%,$R$8="Grow 2% Per Year",2%,$R$8="Custom Growth Rates",R23,$R$8="Baseline Path",((R20-Q20)/Q20),$R$8="Grow with the Economy (GDP)",O135,$R$8="President's Path",O160,$R$8="Grow with Prices (GDPPI)",O144)</f>
        <v>2.3777468185490078E-2</v>
      </c>
      <c r="S22" s="46" cm="1">
        <f t="array" ref="S22">_xlfn.IFS($R$8="Cut 1% Per Year",-1%,$R$8="Freeze",0,$R$8="Grow 1% in 2025",Y176,$R$8="Grow 1% through 2029",Y177,$R$8="Grow 1% Per Year",1%,$R$8="Grow 2% Per Year",2%,$R$8="Custom Growth Rates",S23,$R$8="Baseline Path",((S20-R20)/R20),$R$8="Grow with the Economy (GDP)",P135,$R$8="President's Path",P160,$R$8="Grow with Prices (GDPPI)",P144)</f>
        <v>2.2792974110328441E-2</v>
      </c>
      <c r="T22" s="46" cm="1">
        <f t="array" ref="T22">_xlfn.IFS($R$8="Cut 1% Per Year",-1%,$R$8="Freeze",0,$R$8="Grow 1% in 2025",Z176,$R$8="Grow 1% through 2029",Z177,$R$8="Grow 1% Per Year",1%,$R$8="Grow 2% Per Year",2%,$R$8="Custom Growth Rates",T23,$R$8="Baseline Path",((T20-S20)/S20),$R$8="Grow with the Economy (GDP)",Q135,$R$8="President's Path",Q160,$R$8="Grow with Prices (GDPPI)",Q144)</f>
        <v>2.4290818996167314E-2</v>
      </c>
      <c r="U22" s="46" cm="1">
        <f t="array" ref="U22">_xlfn.IFS($R$8="Cut 1% Per Year",-1%,$R$8="Freeze",0,$R$8="Grow 1% in 2025",AA176,$R$8="Grow 1% through 2029",AA177,$R$8="Grow 1% Per Year",1%,$R$8="Grow 2% Per Year",2%,$R$8="Custom Growth Rates",U23,$R$8="Baseline Path",((U20-T20)/T20),$R$8="Grow with the Economy (GDP)",R135,$R$8="President's Path",R160,$R$8="Grow with Prices (GDPPI)",R144)</f>
        <v>2.4474478735736223E-2</v>
      </c>
      <c r="V22" s="46" cm="1">
        <f t="array" ref="V22">_xlfn.IFS($R$8="Cut 1% Per Year",-1%,$R$8="Freeze",0,$R$8="Grow 1% in 2025",AB176,$R$8="Grow 1% through 2029",AB177,$R$8="Grow 1% Per Year",1%,$R$8="Grow 2% Per Year",2%,$R$8="Custom Growth Rates",V23,$R$8="Baseline Path",((V20-U20)/U20),$R$8="Grow with the Economy (GDP)",S135,$R$8="President's Path",S160,$R$8="Grow with Prices (GDPPI)",S144)</f>
        <v>2.4213689055574496E-2</v>
      </c>
      <c r="W22" s="46" cm="1">
        <f t="array" ref="W22">_xlfn.IFS($R$8="Cut 1% Per Year",-1%,$R$8="Freeze",0,$R$8="Grow 1% in 2025",AC176,$R$8="Grow 1% through 2029",AC177,$R$8="Grow 1% Per Year",1%,$R$8="Grow 2% Per Year",2%,$R$8="Custom Growth Rates",W23,$R$8="Baseline Path",((W20-V20)/V20),$R$8="Grow with the Economy (GDP)",T135,$R$8="President's Path",T160,$R$8="Grow with Prices (GDPPI)",T144)</f>
        <v>2.3872187881650304E-2</v>
      </c>
      <c r="X22" s="46" cm="1">
        <f t="array" ref="X22">_xlfn.IFS($R$8="Cut 1% Per Year",-1%,$R$8="Freeze",0,$R$8="Grow 1% in 2025",AD176,$R$8="Grow 1% through 2029",AD177,$R$8="Grow 1% Per Year",1%,$R$8="Grow 2% Per Year",2%,$R$8="Custom Growth Rates",X23,$R$8="Baseline Path",((X20-W20)/W20),$R$8="Grow with the Economy (GDP)",U135,$R$8="President's Path",U160,$R$8="Grow with Prices (GDPPI)",U144)</f>
        <v>2.4874166102776343E-2</v>
      </c>
      <c r="Y22" s="40"/>
      <c r="Z22" s="1"/>
      <c r="AA22" s="1"/>
      <c r="AB22" s="1"/>
      <c r="AC22" s="1"/>
      <c r="AD22" s="1"/>
    </row>
    <row r="23" spans="1:30" ht="15.6">
      <c r="A23" s="1"/>
      <c r="B23" s="1"/>
      <c r="C23" s="1"/>
      <c r="D23" s="1"/>
      <c r="E23" s="1"/>
      <c r="F23" s="39"/>
      <c r="G23" s="76"/>
      <c r="H23" s="76"/>
      <c r="I23" s="76"/>
      <c r="J23" s="76"/>
      <c r="K23" s="76"/>
      <c r="L23" s="76"/>
      <c r="M23" s="76"/>
      <c r="N23" s="99" t="s">
        <v>79</v>
      </c>
      <c r="O23" s="100">
        <v>9.6580399199879402E-2</v>
      </c>
      <c r="P23" s="100">
        <v>2.3637636334437911E-2</v>
      </c>
      <c r="Q23" s="100">
        <v>2.2939707669922066E-2</v>
      </c>
      <c r="R23" s="100">
        <v>2.3777468185490078E-2</v>
      </c>
      <c r="S23" s="100">
        <v>2.2792974110328441E-2</v>
      </c>
      <c r="T23" s="100">
        <v>2.4290818996167314E-2</v>
      </c>
      <c r="U23" s="100">
        <v>2.4474478735736223E-2</v>
      </c>
      <c r="V23" s="100">
        <v>2.4213689055574496E-2</v>
      </c>
      <c r="W23" s="100">
        <v>2.3872187881650304E-2</v>
      </c>
      <c r="X23" s="100">
        <v>2.4874166102776343E-2</v>
      </c>
      <c r="Y23" s="40"/>
      <c r="Z23" s="1"/>
      <c r="AA23" s="1"/>
      <c r="AB23" s="1"/>
      <c r="AC23" s="1"/>
      <c r="AD23" s="1"/>
    </row>
    <row r="24" spans="1:30" ht="1.95" customHeight="1" thickBot="1">
      <c r="A24" s="1"/>
      <c r="B24" s="1"/>
      <c r="C24" s="1"/>
      <c r="D24" s="1"/>
      <c r="E24" s="1"/>
      <c r="F24" s="47"/>
      <c r="G24" s="48"/>
      <c r="H24" s="48"/>
      <c r="I24" s="48"/>
      <c r="J24" s="48"/>
      <c r="K24" s="48"/>
      <c r="L24" s="48"/>
      <c r="M24" s="48"/>
      <c r="N24" s="48"/>
      <c r="O24" s="48"/>
      <c r="P24" s="48"/>
      <c r="Q24" s="48"/>
      <c r="R24" s="48"/>
      <c r="S24" s="48"/>
      <c r="T24" s="48"/>
      <c r="U24" s="48"/>
      <c r="V24" s="48"/>
      <c r="W24" s="48"/>
      <c r="X24" s="48"/>
      <c r="Y24" s="77"/>
      <c r="Z24" s="1"/>
      <c r="AA24" s="1"/>
      <c r="AB24" s="1"/>
      <c r="AC24" s="1"/>
      <c r="AD24" s="1"/>
    </row>
    <row r="25" spans="1:30" ht="15" thickBot="1">
      <c r="A25" s="1"/>
      <c r="B25" s="1"/>
      <c r="C25" s="1"/>
      <c r="D25" s="1"/>
      <c r="E25" s="1"/>
      <c r="F25" s="50"/>
      <c r="G25" s="50"/>
      <c r="H25" s="50"/>
      <c r="I25" s="50"/>
      <c r="J25" s="50"/>
      <c r="K25" s="50"/>
      <c r="L25" s="50"/>
      <c r="M25" s="50"/>
      <c r="N25" s="50"/>
      <c r="O25" s="50"/>
      <c r="P25" s="50"/>
      <c r="Q25" s="50"/>
      <c r="R25" s="50"/>
      <c r="S25" s="50"/>
      <c r="T25" s="50"/>
      <c r="U25" s="50"/>
      <c r="V25" s="50"/>
      <c r="W25" s="50"/>
      <c r="X25" s="50"/>
      <c r="Y25" s="50"/>
      <c r="Z25" s="1"/>
      <c r="AA25" s="1"/>
      <c r="AB25" s="1"/>
      <c r="AC25" s="1"/>
      <c r="AD25" s="1"/>
    </row>
    <row r="26" spans="1:30" ht="18" customHeight="1" thickBot="1">
      <c r="A26" s="1"/>
      <c r="B26" s="1"/>
      <c r="C26" s="1"/>
      <c r="D26" s="1"/>
      <c r="E26" s="1"/>
      <c r="F26" s="50"/>
      <c r="G26" s="119" t="s">
        <v>53</v>
      </c>
      <c r="H26" s="120"/>
      <c r="I26" s="120"/>
      <c r="J26" s="120"/>
      <c r="K26" s="51">
        <f>(SUM(M51:N51)+SUM(AD51:AE51))*-1</f>
        <v>158.74192000000005</v>
      </c>
      <c r="L26" s="52" t="s">
        <v>45</v>
      </c>
      <c r="M26" s="53">
        <f>(L121+AC121)*-1</f>
        <v>245.67000000000007</v>
      </c>
      <c r="N26" s="54" t="str">
        <f>"billion BA)"</f>
        <v>billion BA)</v>
      </c>
      <c r="O26" s="55"/>
      <c r="P26" s="50"/>
      <c r="Q26" s="122" t="s">
        <v>52</v>
      </c>
      <c r="R26" s="123"/>
      <c r="S26" s="123"/>
      <c r="T26" s="123"/>
      <c r="U26" s="123"/>
      <c r="V26" s="123"/>
      <c r="W26" s="123"/>
      <c r="X26" s="124"/>
      <c r="Y26" s="50"/>
      <c r="Z26" s="1"/>
      <c r="AA26" s="1"/>
      <c r="AB26" s="1"/>
      <c r="AC26" s="1"/>
      <c r="AD26" s="1"/>
    </row>
    <row r="27" spans="1:30" ht="18.75" customHeight="1" thickBot="1">
      <c r="A27" s="1"/>
      <c r="B27" s="1"/>
      <c r="C27" s="1"/>
      <c r="D27" s="1"/>
      <c r="E27" s="1"/>
      <c r="F27" s="50"/>
      <c r="G27" s="56"/>
      <c r="H27" s="56"/>
      <c r="I27" s="56"/>
      <c r="J27" s="56"/>
      <c r="K27" s="57"/>
      <c r="L27" s="57"/>
      <c r="M27" s="57"/>
      <c r="N27" s="57"/>
      <c r="O27" s="57"/>
      <c r="P27" s="50"/>
      <c r="Q27" s="58" t="str">
        <f>IF((W55+AN55)&lt;0,"- Reduce debt by "&amp;(TEXT(ABS((W55+AN55)/1000),"$0.0")&amp;" trillion with interest through 2033"),"- Increase debt by "&amp;(TEXT(ABS((W55+AN55)/1000),"$0.0")&amp;" trillion with interest through 2033"))</f>
        <v>- Reduce debt by $1.5 trillion with interest through 2033</v>
      </c>
      <c r="R27" s="59"/>
      <c r="S27" s="59"/>
      <c r="T27" s="59"/>
      <c r="U27" s="59"/>
      <c r="V27" s="59"/>
      <c r="W27" s="59"/>
      <c r="X27" s="40"/>
      <c r="Y27" s="50"/>
      <c r="Z27" s="1"/>
      <c r="AA27" s="1"/>
      <c r="AB27" s="1"/>
      <c r="AC27" s="1"/>
      <c r="AD27" s="1"/>
    </row>
    <row r="28" spans="1:30" ht="18.600000000000001" thickBot="1">
      <c r="A28" s="1"/>
      <c r="B28" s="1"/>
      <c r="C28" s="1"/>
      <c r="D28" s="1"/>
      <c r="E28" s="1"/>
      <c r="F28" s="50"/>
      <c r="G28" s="119" t="s">
        <v>54</v>
      </c>
      <c r="H28" s="120"/>
      <c r="I28" s="120"/>
      <c r="J28" s="120"/>
      <c r="K28" s="60">
        <f>((W51+AN51)/1000)*-1</f>
        <v>1.2975306664345243</v>
      </c>
      <c r="L28" s="52" t="s">
        <v>46</v>
      </c>
      <c r="M28" s="61">
        <f>((L120+AC120)/1000)*-1</f>
        <v>1.4556124663975916</v>
      </c>
      <c r="N28" s="62" t="str">
        <f>"trillion BA)"</f>
        <v>trillion BA)</v>
      </c>
      <c r="O28" s="63"/>
      <c r="P28" s="50"/>
      <c r="Q28" s="58" t="str">
        <f>IF((L111+AC111)&lt;0,"- Reduce debt by "&amp;(TEXT(ABS((L111+AC111)),"0.0")&amp;" percent of GDP by 2033 from baseline"),"- Increase debt by "&amp;(TEXT(ABS((L111+AC111)),"0.0")&amp;" percent of GDP by 2033 from baseline"))</f>
        <v>- Reduce debt by 3.8 percent of GDP by 2033 from baseline</v>
      </c>
      <c r="R28" s="64"/>
      <c r="S28" s="64"/>
      <c r="T28" s="64"/>
      <c r="U28" s="64"/>
      <c r="V28" s="64"/>
      <c r="W28" s="64"/>
      <c r="X28" s="40"/>
      <c r="Y28" s="50"/>
      <c r="Z28" s="1"/>
      <c r="AA28" s="1"/>
      <c r="AB28" s="1"/>
      <c r="AC28" s="1"/>
      <c r="AD28" s="1"/>
    </row>
    <row r="29" spans="1:30" ht="18.75" customHeight="1" thickBot="1">
      <c r="A29" s="1"/>
      <c r="B29" s="1"/>
      <c r="C29" s="1"/>
      <c r="D29" s="1"/>
      <c r="E29" s="1"/>
      <c r="F29" s="50"/>
      <c r="G29" s="56"/>
      <c r="H29" s="56"/>
      <c r="I29" s="56"/>
      <c r="J29" s="56"/>
      <c r="K29" s="103"/>
      <c r="L29" s="57"/>
      <c r="M29" s="57"/>
      <c r="N29" s="57"/>
      <c r="O29" s="57"/>
      <c r="P29" s="50"/>
      <c r="Q29" s="58" t="str">
        <f>IF(W51&lt;0,"- Reduce defense costs by $"&amp;TEXT(ABS(W51),0)&amp;" billion ("&amp;(TEXT(ABS((W51/L117)*100),"0.0")&amp;" percent) from baseline"),"- Increase defense costs by $"&amp;TEXT(ABS(W51),0)&amp;" billion ("&amp;(TEXT(ABS((W51/L117)*100),"0.0")&amp;" percent) from baseline"))</f>
        <v>- Reduce defense costs by $99 billion (1.1 percent) from baseline</v>
      </c>
      <c r="R29" s="64"/>
      <c r="S29" s="64"/>
      <c r="T29" s="64"/>
      <c r="U29" s="64"/>
      <c r="V29" s="64"/>
      <c r="W29" s="64"/>
      <c r="X29" s="40"/>
      <c r="Y29" s="50"/>
      <c r="Z29" s="1"/>
      <c r="AA29" s="1"/>
      <c r="AB29" s="1"/>
      <c r="AC29" s="1"/>
      <c r="AD29" s="1"/>
    </row>
    <row r="30" spans="1:30" ht="18" customHeight="1" thickBot="1">
      <c r="A30" s="1"/>
      <c r="B30" s="1"/>
      <c r="C30" s="1"/>
      <c r="D30" s="1"/>
      <c r="E30" s="1"/>
      <c r="F30" s="50"/>
      <c r="G30" s="119" t="s">
        <v>88</v>
      </c>
      <c r="H30" s="120"/>
      <c r="I30" s="120"/>
      <c r="J30" s="120"/>
      <c r="K30" s="60">
        <f>((W55+AN55)/1000)*-1</f>
        <v>1.4747706664345248</v>
      </c>
      <c r="L30" s="52" t="s">
        <v>51</v>
      </c>
      <c r="M30" s="52"/>
      <c r="N30" s="52"/>
      <c r="O30" s="65"/>
      <c r="P30" s="50"/>
      <c r="Q30" s="66" t="str">
        <f>IF(AN51&lt;0,"- Reduce nondefense costs by $"&amp;TEXT(ABS(AN51),0)&amp;" billion ("&amp;(TEXT(ABS((AN51/AC117)*100),"0.0")&amp;" percent) from baseline"),"- Increase nondefense costs by $"&amp;TEXT(ABS(AN51),0)&amp;" billion ("&amp;(TEXT(ABS((AN51/AC117)*100),"0.0")&amp;" percent) from baseline"))</f>
        <v>- Reduce nondefense costs by $1198 billion (14.2 percent) from baseline</v>
      </c>
      <c r="R30" s="67"/>
      <c r="S30" s="67"/>
      <c r="T30" s="67"/>
      <c r="U30" s="67"/>
      <c r="V30" s="67"/>
      <c r="W30" s="67"/>
      <c r="X30" s="49"/>
      <c r="Y30" s="50"/>
      <c r="Z30" s="1"/>
      <c r="AA30" s="1"/>
      <c r="AB30" s="1"/>
      <c r="AC30" s="1"/>
      <c r="AD30" s="1"/>
    </row>
    <row r="31" spans="1:30" ht="18.75" customHeight="1" thickBot="1">
      <c r="A31" s="1"/>
      <c r="B31" s="1"/>
      <c r="C31" s="1"/>
      <c r="D31" s="1"/>
      <c r="E31" s="1"/>
      <c r="F31" s="50"/>
      <c r="G31" s="50"/>
      <c r="H31" s="50"/>
      <c r="I31" s="50"/>
      <c r="J31" s="50"/>
      <c r="K31" s="50"/>
      <c r="L31" s="50"/>
      <c r="M31" s="50"/>
      <c r="N31" s="50"/>
      <c r="O31" s="50"/>
      <c r="P31" s="50"/>
      <c r="Q31" s="50"/>
      <c r="R31" s="50"/>
      <c r="S31" s="50"/>
      <c r="T31" s="50"/>
      <c r="U31" s="50"/>
      <c r="V31" s="50"/>
      <c r="W31" s="50"/>
      <c r="X31" s="50"/>
      <c r="Y31" s="50"/>
      <c r="Z31" s="1"/>
      <c r="AA31" s="1"/>
      <c r="AB31" s="1"/>
      <c r="AC31" s="1"/>
      <c r="AD31" s="1"/>
    </row>
    <row r="32" spans="1:30" ht="18.75" customHeight="1">
      <c r="A32" s="1"/>
      <c r="B32" s="1"/>
      <c r="C32" s="1"/>
      <c r="D32" s="1"/>
      <c r="E32" s="1"/>
      <c r="F32" s="50"/>
      <c r="G32" s="129" t="str">
        <f>HYPERLINK(L147,"Click Here to Tweet Your Results")</f>
        <v>Click Here to Tweet Your Results</v>
      </c>
      <c r="H32" s="130"/>
      <c r="I32" s="50"/>
      <c r="J32" s="68" t="s">
        <v>47</v>
      </c>
      <c r="K32" s="69"/>
      <c r="L32" s="69"/>
      <c r="M32" s="69"/>
      <c r="N32" s="70">
        <v>2024</v>
      </c>
      <c r="O32" s="70">
        <v>2025</v>
      </c>
      <c r="P32" s="70">
        <v>2026</v>
      </c>
      <c r="Q32" s="70">
        <v>2027</v>
      </c>
      <c r="R32" s="70">
        <v>2028</v>
      </c>
      <c r="S32" s="70">
        <v>2029</v>
      </c>
      <c r="T32" s="70">
        <v>2030</v>
      </c>
      <c r="U32" s="70">
        <v>2031</v>
      </c>
      <c r="V32" s="70">
        <v>2032</v>
      </c>
      <c r="W32" s="70">
        <v>2033</v>
      </c>
      <c r="X32" s="71"/>
      <c r="Y32" s="50"/>
      <c r="Z32" s="1"/>
      <c r="AA32" s="1"/>
      <c r="AB32" s="1"/>
      <c r="AC32" s="1"/>
      <c r="AD32" s="1"/>
    </row>
    <row r="33" spans="1:41" ht="18">
      <c r="A33" s="1"/>
      <c r="B33" s="1"/>
      <c r="C33" s="1"/>
      <c r="D33" s="1"/>
      <c r="E33" s="1"/>
      <c r="F33" s="50"/>
      <c r="G33" s="131"/>
      <c r="H33" s="132"/>
      <c r="I33" s="50"/>
      <c r="J33" s="72"/>
      <c r="K33" s="121" t="s">
        <v>1</v>
      </c>
      <c r="L33" s="121"/>
      <c r="M33" s="121"/>
      <c r="N33" s="73">
        <f>((M46+AD46)-(M47+AD47))*-1</f>
        <v>109.75700000000006</v>
      </c>
      <c r="O33" s="73">
        <f t="shared" ref="O33:W33" si="3">((N46+AE46)-(N47+AE47))*-1</f>
        <v>135.91300000000001</v>
      </c>
      <c r="P33" s="73">
        <f t="shared" si="3"/>
        <v>139.05503240073926</v>
      </c>
      <c r="Q33" s="73">
        <f t="shared" si="3"/>
        <v>142.37056881965646</v>
      </c>
      <c r="R33" s="73">
        <f t="shared" si="3"/>
        <v>145.63074375746692</v>
      </c>
      <c r="S33" s="73">
        <f t="shared" si="3"/>
        <v>149.15956503558141</v>
      </c>
      <c r="T33" s="73">
        <f t="shared" si="3"/>
        <v>152.80305422016613</v>
      </c>
      <c r="U33" s="73">
        <f t="shared" si="3"/>
        <v>156.49599735330321</v>
      </c>
      <c r="V33" s="73">
        <f t="shared" si="3"/>
        <v>160.22725845608397</v>
      </c>
      <c r="W33" s="73">
        <f t="shared" si="3"/>
        <v>164.20024635459367</v>
      </c>
      <c r="X33" s="40"/>
      <c r="Y33" s="50"/>
      <c r="Z33" s="1"/>
      <c r="AA33" s="1"/>
      <c r="AB33" s="1"/>
      <c r="AC33" s="1"/>
      <c r="AD33" s="1"/>
    </row>
    <row r="34" spans="1:41" ht="18" customHeight="1">
      <c r="A34" s="1"/>
      <c r="B34" s="1"/>
      <c r="C34" s="1"/>
      <c r="D34" s="1"/>
      <c r="E34" s="1"/>
      <c r="F34" s="50"/>
      <c r="G34" s="131"/>
      <c r="H34" s="132"/>
      <c r="I34" s="50"/>
      <c r="J34" s="72"/>
      <c r="K34" s="121" t="s">
        <v>2</v>
      </c>
      <c r="L34" s="121"/>
      <c r="M34" s="121"/>
      <c r="N34" s="73">
        <f>(M51+AD51)*-1</f>
        <v>58.171209999999974</v>
      </c>
      <c r="O34" s="73">
        <f t="shared" ref="O34:W34" si="4">(N51+AE51)*-1</f>
        <v>100.57071000000008</v>
      </c>
      <c r="P34" s="73">
        <f t="shared" si="4"/>
        <v>120.01224717239165</v>
      </c>
      <c r="Q34" s="73">
        <f t="shared" si="4"/>
        <v>130.68985989861017</v>
      </c>
      <c r="R34" s="73">
        <f t="shared" si="4"/>
        <v>137.09693532464189</v>
      </c>
      <c r="S34" s="73">
        <f t="shared" si="4"/>
        <v>141.92420134780195</v>
      </c>
      <c r="T34" s="73">
        <f t="shared" si="4"/>
        <v>146.68650911068346</v>
      </c>
      <c r="U34" s="73">
        <f t="shared" si="4"/>
        <v>150.46625808632575</v>
      </c>
      <c r="V34" s="73">
        <f t="shared" si="4"/>
        <v>154.07456085473211</v>
      </c>
      <c r="W34" s="73">
        <f t="shared" si="4"/>
        <v>157.83817463933758</v>
      </c>
      <c r="X34" s="40"/>
      <c r="Y34" s="50"/>
      <c r="Z34" s="1"/>
      <c r="AA34" s="1"/>
      <c r="AB34" s="1"/>
      <c r="AC34" s="1"/>
      <c r="AD34" s="1"/>
    </row>
    <row r="35" spans="1:41" ht="16.2" thickBot="1">
      <c r="A35" s="1"/>
      <c r="B35" s="1"/>
      <c r="C35" s="1"/>
      <c r="D35" s="1"/>
      <c r="E35" s="1"/>
      <c r="F35" s="50"/>
      <c r="G35" s="133"/>
      <c r="H35" s="134"/>
      <c r="I35" s="50"/>
      <c r="J35" s="74"/>
      <c r="K35" s="48"/>
      <c r="L35" s="48"/>
      <c r="M35" s="48"/>
      <c r="N35" s="48"/>
      <c r="O35" s="48"/>
      <c r="P35" s="48"/>
      <c r="Q35" s="48"/>
      <c r="R35" s="48"/>
      <c r="S35" s="48"/>
      <c r="T35" s="48"/>
      <c r="U35" s="48"/>
      <c r="V35" s="48"/>
      <c r="W35" s="48"/>
      <c r="X35" s="49"/>
      <c r="Y35" s="50"/>
      <c r="Z35" s="1"/>
      <c r="AA35" s="1"/>
      <c r="AB35" s="1"/>
      <c r="AC35" s="1"/>
      <c r="AD35" s="1"/>
    </row>
    <row r="36" spans="1:41">
      <c r="A36" s="1"/>
      <c r="B36" s="1"/>
      <c r="C36" s="1"/>
      <c r="D36" s="1"/>
      <c r="E36" s="1"/>
      <c r="F36" s="118" t="s">
        <v>60</v>
      </c>
      <c r="G36" s="118"/>
      <c r="H36" s="118"/>
      <c r="I36" s="118"/>
      <c r="J36" s="118"/>
      <c r="K36" s="136" t="s">
        <v>61</v>
      </c>
      <c r="L36" s="136"/>
      <c r="M36" s="136"/>
      <c r="N36" s="136"/>
      <c r="O36" s="1"/>
      <c r="P36" s="1"/>
      <c r="Q36" s="1"/>
      <c r="R36" s="1"/>
      <c r="S36" s="1"/>
      <c r="T36" s="1"/>
      <c r="U36" s="1"/>
      <c r="V36" s="1"/>
      <c r="W36" s="1"/>
      <c r="X36" s="1"/>
      <c r="Y36" s="1"/>
      <c r="Z36" s="1"/>
      <c r="AA36" s="1"/>
      <c r="AB36" s="1"/>
      <c r="AC36" s="1"/>
      <c r="AD36" s="1"/>
    </row>
    <row r="37" spans="1:41" ht="14.4" customHeight="1">
      <c r="A37" s="1"/>
      <c r="B37" s="1"/>
      <c r="C37" s="1"/>
      <c r="D37" s="1"/>
      <c r="E37" s="1"/>
      <c r="F37" s="1"/>
      <c r="G37" s="1"/>
      <c r="H37" s="1"/>
      <c r="I37" s="1"/>
      <c r="J37" s="1"/>
      <c r="K37" s="1"/>
      <c r="L37" s="1"/>
      <c r="M37" s="1"/>
      <c r="N37" s="1"/>
      <c r="O37" s="1"/>
      <c r="P37" s="1"/>
      <c r="Q37" s="1"/>
      <c r="R37" s="1"/>
      <c r="S37" s="1"/>
      <c r="T37" s="1"/>
      <c r="U37" s="1"/>
      <c r="V37" s="1"/>
      <c r="W37" s="1"/>
      <c r="X37" s="1"/>
      <c r="Y37" s="35"/>
      <c r="Z37" s="1"/>
      <c r="AA37" s="1"/>
      <c r="AB37" s="1"/>
      <c r="AC37" s="1"/>
      <c r="AD37" s="1"/>
    </row>
    <row r="38" spans="1:41" ht="14.4" customHeight="1">
      <c r="A38" s="1"/>
      <c r="B38" s="1"/>
      <c r="C38" s="1"/>
      <c r="D38" s="1"/>
      <c r="E38" s="1"/>
      <c r="F38" s="1"/>
      <c r="G38" s="116" t="s">
        <v>128</v>
      </c>
      <c r="H38" s="116"/>
      <c r="I38" s="116"/>
      <c r="J38" s="116"/>
      <c r="K38" s="116"/>
      <c r="L38" s="116"/>
      <c r="M38" s="116"/>
      <c r="N38" s="116"/>
      <c r="O38" s="116"/>
      <c r="P38" s="116"/>
      <c r="Q38" s="116"/>
      <c r="R38" s="116"/>
      <c r="S38" s="116"/>
      <c r="T38" s="116"/>
      <c r="U38" s="116"/>
      <c r="V38" s="116"/>
      <c r="W38" s="116"/>
      <c r="X38" s="116"/>
      <c r="Y38" s="1"/>
      <c r="Z38" s="1"/>
      <c r="AA38" s="1"/>
      <c r="AB38" s="1"/>
      <c r="AC38" s="1"/>
      <c r="AD38" s="1"/>
    </row>
    <row r="39" spans="1:41" ht="15" customHeight="1">
      <c r="A39" s="1"/>
      <c r="B39" s="1"/>
      <c r="C39" s="1"/>
      <c r="D39" s="1"/>
      <c r="E39" s="1"/>
      <c r="F39" s="1"/>
      <c r="G39" s="116"/>
      <c r="H39" s="116"/>
      <c r="I39" s="116"/>
      <c r="J39" s="116"/>
      <c r="K39" s="116"/>
      <c r="L39" s="116"/>
      <c r="M39" s="116"/>
      <c r="N39" s="116"/>
      <c r="O39" s="116"/>
      <c r="P39" s="116"/>
      <c r="Q39" s="116"/>
      <c r="R39" s="116"/>
      <c r="S39" s="116"/>
      <c r="T39" s="116"/>
      <c r="U39" s="116"/>
      <c r="V39" s="116"/>
      <c r="W39" s="116"/>
      <c r="X39" s="116"/>
      <c r="Y39" s="1"/>
      <c r="Z39" s="1"/>
      <c r="AA39" s="1"/>
      <c r="AB39" s="1"/>
      <c r="AC39" s="1"/>
      <c r="AD39" s="1"/>
    </row>
    <row r="40" spans="1:41" ht="15" customHeight="1">
      <c r="A40" s="1"/>
      <c r="B40" s="1"/>
      <c r="C40" s="1"/>
      <c r="D40" s="1"/>
      <c r="E40" s="1"/>
      <c r="F40" s="1"/>
      <c r="G40" s="116" t="s">
        <v>116</v>
      </c>
      <c r="H40" s="116"/>
      <c r="I40" s="116"/>
      <c r="J40" s="116"/>
      <c r="K40" s="116"/>
      <c r="L40" s="116"/>
      <c r="M40" s="116"/>
      <c r="N40" s="116"/>
      <c r="O40" s="116"/>
      <c r="P40" s="116"/>
      <c r="Q40" s="116"/>
      <c r="R40" s="116"/>
      <c r="S40" s="116"/>
      <c r="T40" s="116"/>
      <c r="U40" s="116"/>
      <c r="V40" s="116"/>
      <c r="W40" s="116"/>
      <c r="X40" s="116"/>
      <c r="Y40" s="1"/>
      <c r="Z40" s="1"/>
      <c r="AA40" s="1"/>
      <c r="AB40" s="1"/>
      <c r="AC40" s="1"/>
      <c r="AD40" s="1"/>
    </row>
    <row r="41" spans="1:41" ht="15" customHeight="1">
      <c r="A41" s="1"/>
      <c r="B41" s="1"/>
      <c r="C41" s="1"/>
      <c r="D41" s="1"/>
      <c r="E41" s="1"/>
      <c r="F41" s="1"/>
      <c r="G41" s="116"/>
      <c r="H41" s="116"/>
      <c r="I41" s="116"/>
      <c r="J41" s="116"/>
      <c r="K41" s="116"/>
      <c r="L41" s="116"/>
      <c r="M41" s="116"/>
      <c r="N41" s="116"/>
      <c r="O41" s="116"/>
      <c r="P41" s="116"/>
      <c r="Q41" s="116"/>
      <c r="R41" s="116"/>
      <c r="S41" s="116"/>
      <c r="T41" s="116"/>
      <c r="U41" s="116"/>
      <c r="V41" s="116"/>
      <c r="W41" s="116"/>
      <c r="X41" s="116"/>
      <c r="Y41" s="1"/>
      <c r="Z41" s="1"/>
      <c r="AA41" s="1"/>
      <c r="AB41" s="1"/>
      <c r="AC41" s="1"/>
      <c r="AD41" s="1"/>
    </row>
    <row r="42" spans="1:41" ht="14.4" customHeight="1">
      <c r="A42" s="1"/>
      <c r="B42" s="1"/>
      <c r="C42" s="1"/>
      <c r="D42" s="1"/>
      <c r="E42" s="1"/>
      <c r="F42" s="1"/>
      <c r="G42" s="116"/>
      <c r="H42" s="116"/>
      <c r="I42" s="116"/>
      <c r="J42" s="116"/>
      <c r="K42" s="116"/>
      <c r="L42" s="116"/>
      <c r="M42" s="116"/>
      <c r="N42" s="116"/>
      <c r="O42" s="116"/>
      <c r="P42" s="116"/>
      <c r="Q42" s="116"/>
      <c r="R42" s="116"/>
      <c r="S42" s="116"/>
      <c r="T42" s="116"/>
      <c r="U42" s="116"/>
      <c r="V42" s="116"/>
      <c r="W42" s="116"/>
      <c r="X42" s="116"/>
      <c r="Y42" s="1"/>
      <c r="Z42" s="1"/>
      <c r="AA42" s="1"/>
      <c r="AB42" s="1"/>
      <c r="AC42" s="1"/>
      <c r="AD42" s="1"/>
    </row>
    <row r="43" spans="1:41">
      <c r="A43" s="1"/>
      <c r="B43" s="1"/>
      <c r="C43" s="1"/>
      <c r="D43" s="1"/>
      <c r="E43" s="1"/>
      <c r="F43" s="1"/>
      <c r="G43" s="116"/>
      <c r="H43" s="116"/>
      <c r="I43" s="116"/>
      <c r="J43" s="116"/>
      <c r="K43" s="116"/>
      <c r="L43" s="116"/>
      <c r="M43" s="116"/>
      <c r="N43" s="116"/>
      <c r="O43" s="116"/>
      <c r="P43" s="116"/>
      <c r="Q43" s="116"/>
      <c r="R43" s="116"/>
      <c r="S43" s="116"/>
      <c r="T43" s="116"/>
      <c r="U43" s="116"/>
      <c r="V43" s="116"/>
      <c r="W43" s="116"/>
      <c r="X43" s="116"/>
      <c r="Y43" s="1"/>
      <c r="Z43" s="1"/>
      <c r="AA43" s="1"/>
      <c r="AB43" s="1"/>
      <c r="AC43" s="1"/>
      <c r="AD43" s="1"/>
    </row>
    <row r="45" spans="1:41" hidden="1">
      <c r="J45" s="17" t="s">
        <v>67</v>
      </c>
      <c r="K45">
        <v>2022</v>
      </c>
      <c r="L45">
        <v>2023</v>
      </c>
      <c r="M45">
        <v>2024</v>
      </c>
      <c r="N45">
        <v>2025</v>
      </c>
      <c r="O45">
        <v>2026</v>
      </c>
      <c r="P45">
        <v>2027</v>
      </c>
      <c r="Q45">
        <v>2028</v>
      </c>
      <c r="R45">
        <v>2029</v>
      </c>
      <c r="S45">
        <v>2030</v>
      </c>
      <c r="T45">
        <v>2031</v>
      </c>
      <c r="U45">
        <v>2032</v>
      </c>
      <c r="V45">
        <v>2033</v>
      </c>
      <c r="AA45" s="17" t="s">
        <v>68</v>
      </c>
      <c r="AB45">
        <v>2022</v>
      </c>
      <c r="AC45">
        <v>2023</v>
      </c>
      <c r="AD45">
        <v>2024</v>
      </c>
      <c r="AE45">
        <v>2025</v>
      </c>
      <c r="AF45">
        <v>2026</v>
      </c>
      <c r="AG45">
        <v>2027</v>
      </c>
      <c r="AH45">
        <v>2028</v>
      </c>
      <c r="AI45">
        <v>2029</v>
      </c>
      <c r="AJ45">
        <v>2030</v>
      </c>
      <c r="AK45">
        <v>2031</v>
      </c>
      <c r="AL45">
        <v>2032</v>
      </c>
      <c r="AM45">
        <v>2033</v>
      </c>
    </row>
    <row r="46" spans="1:41" hidden="1">
      <c r="J46" s="16" t="s">
        <v>4</v>
      </c>
      <c r="K46" s="3">
        <f>M14</f>
        <v>782.03899999999999</v>
      </c>
      <c r="L46" s="3">
        <f t="shared" ref="L46:V46" si="5">N14</f>
        <v>858.36199999999997</v>
      </c>
      <c r="M46" s="3">
        <f t="shared" si="5"/>
        <v>886.34900000000005</v>
      </c>
      <c r="N46" s="4">
        <f t="shared" si="5"/>
        <v>895.21249</v>
      </c>
      <c r="O46" s="4">
        <f>Q14</f>
        <v>917.62049387519596</v>
      </c>
      <c r="P46" s="4">
        <f t="shared" si="5"/>
        <v>940.14696459615038</v>
      </c>
      <c r="Q46" s="4">
        <f t="shared" si="5"/>
        <v>962.74451542455984</v>
      </c>
      <c r="R46" s="4">
        <f t="shared" si="5"/>
        <v>985.46053309872764</v>
      </c>
      <c r="S46" s="4">
        <f t="shared" si="5"/>
        <v>1009.0295120623556</v>
      </c>
      <c r="T46" s="4">
        <f t="shared" si="5"/>
        <v>1032.9223004043899</v>
      </c>
      <c r="U46" s="4">
        <f t="shared" si="5"/>
        <v>1057.2218249168614</v>
      </c>
      <c r="V46" s="4">
        <f t="shared" si="5"/>
        <v>1082.5510237637159</v>
      </c>
      <c r="W46" s="3"/>
      <c r="X46" s="3"/>
      <c r="AA46" s="16" t="s">
        <v>4</v>
      </c>
      <c r="AB46" s="3">
        <f>M21</f>
        <v>688.827</v>
      </c>
      <c r="AC46" s="3">
        <f>N21</f>
        <v>743.88800000000003</v>
      </c>
      <c r="AD46" s="3">
        <f t="shared" ref="AD46:AM46" si="6">O21</f>
        <v>703.65099999999995</v>
      </c>
      <c r="AE46" s="3">
        <f t="shared" si="6"/>
        <v>710.68750999999997</v>
      </c>
      <c r="AF46" s="3">
        <f t="shared" si="6"/>
        <v>726.99047372406471</v>
      </c>
      <c r="AG46" s="3">
        <f t="shared" si="6"/>
        <v>744.27646658419303</v>
      </c>
      <c r="AH46" s="3">
        <f t="shared" si="6"/>
        <v>761.24074081797335</v>
      </c>
      <c r="AI46" s="3">
        <f t="shared" si="6"/>
        <v>779.73190186569104</v>
      </c>
      <c r="AJ46" s="3">
        <f t="shared" si="6"/>
        <v>798.81543371747807</v>
      </c>
      <c r="AK46" s="3">
        <f t="shared" si="6"/>
        <v>818.15770224230687</v>
      </c>
      <c r="AL46" s="3">
        <f t="shared" si="6"/>
        <v>837.6889166270546</v>
      </c>
      <c r="AM46" s="3">
        <f t="shared" si="6"/>
        <v>858.52572988169061</v>
      </c>
      <c r="AN46" s="3"/>
      <c r="AO46" s="3"/>
    </row>
    <row r="47" spans="1:41" hidden="1">
      <c r="J47" s="16" t="s">
        <v>5</v>
      </c>
      <c r="K47" s="3">
        <f>M13</f>
        <v>782.15200000000004</v>
      </c>
      <c r="L47" s="3">
        <f t="shared" ref="L47:V47" si="7">N13</f>
        <v>858.35900000000004</v>
      </c>
      <c r="M47" s="3">
        <f t="shared" si="7"/>
        <v>884.024</v>
      </c>
      <c r="N47" s="3">
        <f t="shared" si="7"/>
        <v>906.798</v>
      </c>
      <c r="O47" s="3">
        <f t="shared" si="7"/>
        <v>929.49599999999998</v>
      </c>
      <c r="P47" s="3">
        <f t="shared" si="7"/>
        <v>952.31399999999996</v>
      </c>
      <c r="Q47" s="3">
        <f t="shared" si="7"/>
        <v>975.20399999999995</v>
      </c>
      <c r="R47" s="3">
        <f t="shared" si="7"/>
        <v>998.21400000000006</v>
      </c>
      <c r="S47" s="3">
        <f t="shared" si="7"/>
        <v>1022.088</v>
      </c>
      <c r="T47" s="3">
        <f t="shared" si="7"/>
        <v>1046.29</v>
      </c>
      <c r="U47" s="3">
        <f t="shared" si="7"/>
        <v>1070.904</v>
      </c>
      <c r="V47" s="3">
        <f t="shared" si="7"/>
        <v>1096.5609999999999</v>
      </c>
      <c r="W47" s="3"/>
      <c r="AA47" s="16" t="s">
        <v>5</v>
      </c>
      <c r="AB47" s="3">
        <f>M20</f>
        <v>688.827</v>
      </c>
      <c r="AC47" s="3">
        <f>N20</f>
        <v>743.88800000000003</v>
      </c>
      <c r="AD47" s="3">
        <f t="shared" ref="AD47:AM47" si="8">O20</f>
        <v>815.73299999999995</v>
      </c>
      <c r="AE47" s="3">
        <f t="shared" si="8"/>
        <v>835.01499999999999</v>
      </c>
      <c r="AF47" s="3">
        <f t="shared" si="8"/>
        <v>854.17</v>
      </c>
      <c r="AG47" s="3">
        <f t="shared" si="8"/>
        <v>874.48</v>
      </c>
      <c r="AH47" s="3">
        <f t="shared" si="8"/>
        <v>894.41200000000003</v>
      </c>
      <c r="AI47" s="3">
        <f t="shared" si="8"/>
        <v>916.13800000000003</v>
      </c>
      <c r="AJ47" s="3">
        <f t="shared" si="8"/>
        <v>938.56</v>
      </c>
      <c r="AK47" s="3">
        <f t="shared" si="8"/>
        <v>961.28599999999994</v>
      </c>
      <c r="AL47" s="3">
        <f t="shared" si="8"/>
        <v>984.23400000000004</v>
      </c>
      <c r="AM47" s="3">
        <f t="shared" si="8"/>
        <v>1008.716</v>
      </c>
      <c r="AN47" s="3"/>
    </row>
    <row r="48" spans="1:41" hidden="1">
      <c r="J48" s="16"/>
      <c r="AA48" s="16"/>
    </row>
    <row r="49" spans="10:40" hidden="1">
      <c r="J49" s="16" t="s">
        <v>6</v>
      </c>
      <c r="K49" s="4"/>
      <c r="L49" s="4">
        <f>L74</f>
        <v>454.93186000000003</v>
      </c>
      <c r="M49" s="4">
        <f>M74</f>
        <v>692.93909000000008</v>
      </c>
      <c r="N49" s="4">
        <f>N74</f>
        <v>790.74955969999996</v>
      </c>
      <c r="O49" s="4">
        <f t="shared" ref="O49:U49" si="9">O74</f>
        <v>850.64710915385399</v>
      </c>
      <c r="P49" s="4">
        <f t="shared" si="9"/>
        <v>887.86515864351065</v>
      </c>
      <c r="Q49" s="4">
        <f t="shared" si="9"/>
        <v>917.52607785753548</v>
      </c>
      <c r="R49" s="4">
        <f t="shared" si="9"/>
        <v>947.85473750608605</v>
      </c>
      <c r="S49" s="4">
        <f t="shared" si="9"/>
        <v>970.4552045484852</v>
      </c>
      <c r="T49" s="4">
        <f t="shared" si="9"/>
        <v>993.41104056231484</v>
      </c>
      <c r="U49" s="4">
        <f t="shared" si="9"/>
        <v>1016.8959080654546</v>
      </c>
      <c r="V49" s="4">
        <f>V74</f>
        <v>1041.1115481788918</v>
      </c>
      <c r="AA49" s="16" t="s">
        <v>6</v>
      </c>
      <c r="AB49" s="4"/>
      <c r="AC49" s="4">
        <f>AC74</f>
        <v>394.26064000000002</v>
      </c>
      <c r="AD49" s="4">
        <f>AD74</f>
        <v>566.34591</v>
      </c>
      <c r="AE49" s="4">
        <f>AE74</f>
        <v>634.00244029999999</v>
      </c>
      <c r="AF49" s="4">
        <f t="shared" ref="AF49:AL49" si="10">AF74</f>
        <v>677.64320367375421</v>
      </c>
      <c r="AG49" s="4">
        <f t="shared" si="10"/>
        <v>704.61311145787909</v>
      </c>
      <c r="AH49" s="4">
        <f t="shared" si="10"/>
        <v>726.71479681782262</v>
      </c>
      <c r="AI49" s="4">
        <f t="shared" si="10"/>
        <v>750.64681114611199</v>
      </c>
      <c r="AJ49" s="4">
        <f t="shared" si="10"/>
        <v>768.1235663408313</v>
      </c>
      <c r="AK49" s="4">
        <f t="shared" si="10"/>
        <v>786.61313135135924</v>
      </c>
      <c r="AL49" s="4">
        <f t="shared" si="10"/>
        <v>805.50175107981318</v>
      </c>
      <c r="AM49" s="4">
        <f>AM74</f>
        <v>825.22410718177036</v>
      </c>
    </row>
    <row r="50" spans="10:40" hidden="1">
      <c r="J50" s="16" t="s">
        <v>7</v>
      </c>
      <c r="K50" s="4"/>
      <c r="L50" s="4">
        <v>454.93186000000003</v>
      </c>
      <c r="M50" s="4">
        <v>691.70684000000006</v>
      </c>
      <c r="N50" s="4">
        <v>796.28538000000003</v>
      </c>
      <c r="O50" s="4">
        <v>859.7208599999999</v>
      </c>
      <c r="P50" s="4">
        <v>898.4436199999999</v>
      </c>
      <c r="Q50" s="4">
        <v>929.01335999999992</v>
      </c>
      <c r="R50" s="4">
        <v>959.87247999999988</v>
      </c>
      <c r="S50" s="4">
        <v>982.8765199999998</v>
      </c>
      <c r="T50" s="4">
        <v>1006.2673999999997</v>
      </c>
      <c r="U50" s="4">
        <v>1030.0561999999998</v>
      </c>
      <c r="V50" s="4">
        <v>1054.5852299999997</v>
      </c>
      <c r="AA50" s="16" t="s">
        <v>7</v>
      </c>
      <c r="AB50" s="4"/>
      <c r="AC50" s="4">
        <v>394.26064000000002</v>
      </c>
      <c r="AD50" s="4">
        <v>625.74937</v>
      </c>
      <c r="AE50" s="4">
        <v>729.03733</v>
      </c>
      <c r="AF50" s="4">
        <v>788.58169999999996</v>
      </c>
      <c r="AG50" s="4">
        <v>824.72451000000001</v>
      </c>
      <c r="AH50" s="4">
        <v>852.32445000000007</v>
      </c>
      <c r="AI50" s="4">
        <v>880.55327000000011</v>
      </c>
      <c r="AJ50" s="4">
        <v>902.38876000000016</v>
      </c>
      <c r="AK50" s="4">
        <v>924.22303000000011</v>
      </c>
      <c r="AL50" s="4">
        <v>946.41602000000012</v>
      </c>
      <c r="AM50" s="4">
        <v>969.58860000000004</v>
      </c>
    </row>
    <row r="51" spans="10:40" hidden="1">
      <c r="J51" s="16" t="s">
        <v>8</v>
      </c>
      <c r="M51" s="4">
        <f>M49-M50</f>
        <v>1.2322500000000218</v>
      </c>
      <c r="N51" s="4">
        <f t="shared" ref="N51:V51" si="11">N49-N50</f>
        <v>-5.5358203000000685</v>
      </c>
      <c r="O51" s="4">
        <f t="shared" si="11"/>
        <v>-9.0737508461459129</v>
      </c>
      <c r="P51" s="4">
        <f t="shared" si="11"/>
        <v>-10.578461356489242</v>
      </c>
      <c r="Q51" s="4">
        <f t="shared" si="11"/>
        <v>-11.487282142464437</v>
      </c>
      <c r="R51" s="4">
        <f t="shared" si="11"/>
        <v>-12.017742493913829</v>
      </c>
      <c r="S51" s="4">
        <f t="shared" si="11"/>
        <v>-12.421315451514602</v>
      </c>
      <c r="T51" s="4">
        <f t="shared" si="11"/>
        <v>-12.856359437684887</v>
      </c>
      <c r="U51" s="4">
        <f t="shared" si="11"/>
        <v>-13.160291934545171</v>
      </c>
      <c r="V51" s="4">
        <f t="shared" si="11"/>
        <v>-13.473681821107903</v>
      </c>
      <c r="W51" s="4">
        <f>SUM(M51:V51)</f>
        <v>-99.37245578386603</v>
      </c>
      <c r="AA51" s="16" t="s">
        <v>8</v>
      </c>
      <c r="AD51" s="4">
        <f>AD49-AD50</f>
        <v>-59.403459999999995</v>
      </c>
      <c r="AE51" s="4">
        <f t="shared" ref="AE51:AM51" si="12">AE49-AE50</f>
        <v>-95.034889700000008</v>
      </c>
      <c r="AF51" s="4">
        <f t="shared" si="12"/>
        <v>-110.93849632624574</v>
      </c>
      <c r="AG51" s="4">
        <f t="shared" si="12"/>
        <v>-120.11139854212092</v>
      </c>
      <c r="AH51" s="4">
        <f t="shared" si="12"/>
        <v>-125.60965318217745</v>
      </c>
      <c r="AI51" s="4">
        <f t="shared" si="12"/>
        <v>-129.90645885388813</v>
      </c>
      <c r="AJ51" s="4">
        <f t="shared" si="12"/>
        <v>-134.26519365916886</v>
      </c>
      <c r="AK51" s="4">
        <f t="shared" si="12"/>
        <v>-137.60989864864086</v>
      </c>
      <c r="AL51" s="4">
        <f t="shared" si="12"/>
        <v>-140.91426892018694</v>
      </c>
      <c r="AM51" s="4">
        <f t="shared" si="12"/>
        <v>-144.36449281822968</v>
      </c>
      <c r="AN51" s="4">
        <f>SUM(AD51:AM51)</f>
        <v>-1198.1582106506585</v>
      </c>
    </row>
    <row r="52" spans="10:40" hidden="1">
      <c r="J52" s="16"/>
      <c r="AA52" s="16"/>
    </row>
    <row r="53" spans="10:40" hidden="1">
      <c r="J53" s="16" t="s">
        <v>9</v>
      </c>
      <c r="M53" s="4">
        <f>M91</f>
        <v>1.4E-2</v>
      </c>
      <c r="N53" s="4">
        <f t="shared" ref="N53:V53" si="13">N91</f>
        <v>-2.9000000000000001E-2</v>
      </c>
      <c r="O53" s="4">
        <f t="shared" si="13"/>
        <v>-0.24099999999999999</v>
      </c>
      <c r="P53" s="4">
        <f t="shared" si="13"/>
        <v>-0.52</v>
      </c>
      <c r="Q53" s="4">
        <f t="shared" si="13"/>
        <v>-0.85499999999999998</v>
      </c>
      <c r="R53" s="4">
        <f t="shared" si="13"/>
        <v>-1.204</v>
      </c>
      <c r="S53" s="4">
        <f t="shared" si="13"/>
        <v>-1.6060000000000001</v>
      </c>
      <c r="T53" s="4">
        <f t="shared" si="13"/>
        <v>-2.016</v>
      </c>
      <c r="U53" s="4">
        <f t="shared" si="13"/>
        <v>-2.4489999999999998</v>
      </c>
      <c r="V53" s="4">
        <f t="shared" si="13"/>
        <v>-2.9119999999999999</v>
      </c>
      <c r="W53" s="4">
        <f>SUM(M53:V53)</f>
        <v>-11.817999999999998</v>
      </c>
      <c r="AA53" s="16" t="s">
        <v>9</v>
      </c>
      <c r="AD53" s="4">
        <f>AD91</f>
        <v>-0.67100000000000004</v>
      </c>
      <c r="AE53" s="4">
        <f t="shared" ref="AE53:AM53" si="14">AE91</f>
        <v>-3.2480000000000002</v>
      </c>
      <c r="AF53" s="4">
        <f t="shared" si="14"/>
        <v>-6.2569999999999997</v>
      </c>
      <c r="AG53" s="4">
        <f t="shared" si="14"/>
        <v>-9.5519999999999996</v>
      </c>
      <c r="AH53" s="4">
        <f t="shared" si="14"/>
        <v>-13.382999999999999</v>
      </c>
      <c r="AI53" s="4">
        <f t="shared" si="14"/>
        <v>-17.260000000000002</v>
      </c>
      <c r="AJ53" s="4">
        <f t="shared" si="14"/>
        <v>-21.734000000000002</v>
      </c>
      <c r="AK53" s="4">
        <f t="shared" si="14"/>
        <v>-26.245999999999999</v>
      </c>
      <c r="AL53" s="4">
        <f t="shared" si="14"/>
        <v>-30.98</v>
      </c>
      <c r="AM53" s="4">
        <f t="shared" si="14"/>
        <v>-36.091000000000001</v>
      </c>
      <c r="AN53" s="4">
        <f>SUM(AD53:AM53)</f>
        <v>-165.42200000000003</v>
      </c>
    </row>
    <row r="54" spans="10:40" hidden="1">
      <c r="J54" s="16"/>
      <c r="AA54" s="16"/>
    </row>
    <row r="55" spans="10:40" hidden="1">
      <c r="J55" s="16" t="s">
        <v>10</v>
      </c>
      <c r="M55" s="4">
        <f>M51+M53</f>
        <v>1.2462500000000218</v>
      </c>
      <c r="N55" s="4">
        <f t="shared" ref="N55:V55" si="15">N51+N53</f>
        <v>-5.5648203000000684</v>
      </c>
      <c r="O55" s="4">
        <f t="shared" si="15"/>
        <v>-9.3147508461459125</v>
      </c>
      <c r="P55" s="4">
        <f t="shared" si="15"/>
        <v>-11.098461356489242</v>
      </c>
      <c r="Q55" s="4">
        <f t="shared" si="15"/>
        <v>-12.342282142464438</v>
      </c>
      <c r="R55" s="4">
        <f t="shared" si="15"/>
        <v>-13.22174249391383</v>
      </c>
      <c r="S55" s="4">
        <f t="shared" si="15"/>
        <v>-14.027315451514601</v>
      </c>
      <c r="T55" s="4">
        <f t="shared" si="15"/>
        <v>-14.872359437684887</v>
      </c>
      <c r="U55" s="4">
        <f t="shared" si="15"/>
        <v>-15.609291934545171</v>
      </c>
      <c r="V55" s="4">
        <f t="shared" si="15"/>
        <v>-16.385681821107902</v>
      </c>
      <c r="W55" s="4">
        <f>SUM(M55:V55)</f>
        <v>-111.19045578386604</v>
      </c>
      <c r="AA55" s="16" t="s">
        <v>10</v>
      </c>
      <c r="AD55" s="4">
        <f>AD51+AD53</f>
        <v>-60.074459999999995</v>
      </c>
      <c r="AE55" s="4">
        <f t="shared" ref="AE55:AM55" si="16">AE51+AE53</f>
        <v>-98.282889700000013</v>
      </c>
      <c r="AF55" s="4">
        <f t="shared" si="16"/>
        <v>-117.19549632624575</v>
      </c>
      <c r="AG55" s="4">
        <f t="shared" si="16"/>
        <v>-129.66339854212092</v>
      </c>
      <c r="AH55" s="4">
        <f t="shared" si="16"/>
        <v>-138.99265318217746</v>
      </c>
      <c r="AI55" s="4">
        <f t="shared" si="16"/>
        <v>-147.16645885388812</v>
      </c>
      <c r="AJ55" s="4">
        <f t="shared" si="16"/>
        <v>-155.99919365916887</v>
      </c>
      <c r="AK55" s="4">
        <f t="shared" si="16"/>
        <v>-163.85589864864087</v>
      </c>
      <c r="AL55" s="4">
        <f t="shared" si="16"/>
        <v>-171.89426892018693</v>
      </c>
      <c r="AM55" s="4">
        <f t="shared" si="16"/>
        <v>-180.45549281822969</v>
      </c>
      <c r="AN55" s="4">
        <f>SUM(AD55:AM55)</f>
        <v>-1363.5802106506587</v>
      </c>
    </row>
    <row r="56" spans="10:40" hidden="1">
      <c r="J56" s="16"/>
      <c r="AA56" s="16"/>
    </row>
    <row r="57" spans="10:40" hidden="1">
      <c r="J57" s="17" t="s">
        <v>11</v>
      </c>
      <c r="K57" s="5" t="s">
        <v>12</v>
      </c>
      <c r="L57" s="6">
        <v>1</v>
      </c>
      <c r="M57" s="6">
        <v>2</v>
      </c>
      <c r="N57" s="6">
        <v>3</v>
      </c>
      <c r="O57" s="6">
        <v>4</v>
      </c>
      <c r="P57" s="6">
        <v>5</v>
      </c>
      <c r="Q57" s="6">
        <v>6</v>
      </c>
      <c r="R57" s="6">
        <v>7</v>
      </c>
      <c r="S57" s="6">
        <v>8</v>
      </c>
      <c r="T57" s="6">
        <v>9</v>
      </c>
      <c r="U57" s="6">
        <v>10</v>
      </c>
      <c r="V57" s="6">
        <v>11</v>
      </c>
      <c r="AA57" s="17" t="s">
        <v>11</v>
      </c>
      <c r="AB57" s="5" t="s">
        <v>12</v>
      </c>
      <c r="AC57" s="6">
        <v>1</v>
      </c>
      <c r="AD57" s="6">
        <v>2</v>
      </c>
      <c r="AE57" s="6">
        <v>3</v>
      </c>
      <c r="AF57" s="6">
        <v>4</v>
      </c>
      <c r="AG57" s="6">
        <v>5</v>
      </c>
      <c r="AH57" s="6">
        <v>6</v>
      </c>
      <c r="AI57" s="6">
        <v>7</v>
      </c>
      <c r="AJ57" s="6">
        <v>8</v>
      </c>
      <c r="AK57" s="6">
        <v>9</v>
      </c>
      <c r="AL57" s="6">
        <v>10</v>
      </c>
      <c r="AM57" s="6">
        <v>11</v>
      </c>
    </row>
    <row r="58" spans="10:40" hidden="1">
      <c r="K58" s="16" t="s">
        <v>69</v>
      </c>
      <c r="L58">
        <v>0.53</v>
      </c>
      <c r="M58">
        <v>0.26</v>
      </c>
      <c r="N58">
        <v>0.1</v>
      </c>
      <c r="O58">
        <v>0.05</v>
      </c>
      <c r="P58">
        <v>0.02</v>
      </c>
      <c r="Q58">
        <v>0.01</v>
      </c>
      <c r="R58">
        <v>0.01</v>
      </c>
      <c r="S58">
        <v>0</v>
      </c>
      <c r="T58">
        <v>0</v>
      </c>
      <c r="U58">
        <v>0</v>
      </c>
      <c r="V58">
        <v>0</v>
      </c>
      <c r="AB58" s="16" t="s">
        <v>69</v>
      </c>
      <c r="AC58">
        <v>0.53</v>
      </c>
      <c r="AD58">
        <v>0.26</v>
      </c>
      <c r="AE58">
        <v>0.1</v>
      </c>
      <c r="AF58">
        <v>0.05</v>
      </c>
      <c r="AG58">
        <v>0.02</v>
      </c>
      <c r="AH58">
        <v>0.01</v>
      </c>
      <c r="AI58">
        <v>0.01</v>
      </c>
      <c r="AJ58">
        <v>0</v>
      </c>
      <c r="AK58">
        <v>0</v>
      </c>
      <c r="AL58">
        <v>0</v>
      </c>
      <c r="AM58">
        <v>0</v>
      </c>
    </row>
    <row r="59" spans="10:40" hidden="1">
      <c r="K59" s="5" t="s">
        <v>12</v>
      </c>
      <c r="L59" s="6">
        <v>2023</v>
      </c>
      <c r="M59" s="6">
        <v>2024</v>
      </c>
      <c r="N59" s="6">
        <v>2025</v>
      </c>
      <c r="O59" s="6">
        <v>2026</v>
      </c>
      <c r="P59" s="6">
        <v>2027</v>
      </c>
      <c r="Q59" s="6">
        <v>2028</v>
      </c>
      <c r="R59" s="6">
        <v>2029</v>
      </c>
      <c r="S59" s="6">
        <v>2030</v>
      </c>
      <c r="T59" s="6">
        <v>2031</v>
      </c>
      <c r="U59" s="6">
        <v>2032</v>
      </c>
      <c r="V59" s="6">
        <v>2033</v>
      </c>
      <c r="AB59" s="5" t="s">
        <v>12</v>
      </c>
      <c r="AC59" s="6">
        <v>2023</v>
      </c>
      <c r="AD59" s="6">
        <v>2024</v>
      </c>
      <c r="AE59" s="6">
        <v>2025</v>
      </c>
      <c r="AF59" s="6">
        <v>2026</v>
      </c>
      <c r="AG59" s="6">
        <v>2027</v>
      </c>
      <c r="AH59" s="6">
        <v>2028</v>
      </c>
      <c r="AI59" s="6">
        <v>2029</v>
      </c>
      <c r="AJ59" s="6">
        <v>2030</v>
      </c>
      <c r="AK59" s="6">
        <v>2031</v>
      </c>
      <c r="AL59" s="6">
        <v>2032</v>
      </c>
      <c r="AM59" s="6">
        <v>2033</v>
      </c>
    </row>
    <row r="60" spans="10:40" hidden="1">
      <c r="K60" s="5" t="s">
        <v>13</v>
      </c>
      <c r="L60" s="3">
        <f>L46</f>
        <v>858.36199999999997</v>
      </c>
      <c r="M60" s="3">
        <f>M46</f>
        <v>886.34900000000005</v>
      </c>
      <c r="N60" s="3">
        <f t="shared" ref="N60:U60" si="17">N46</f>
        <v>895.21249</v>
      </c>
      <c r="O60" s="3">
        <f t="shared" si="17"/>
        <v>917.62049387519596</v>
      </c>
      <c r="P60" s="3">
        <f t="shared" si="17"/>
        <v>940.14696459615038</v>
      </c>
      <c r="Q60" s="3">
        <f t="shared" si="17"/>
        <v>962.74451542455984</v>
      </c>
      <c r="R60" s="3">
        <f t="shared" si="17"/>
        <v>985.46053309872764</v>
      </c>
      <c r="S60" s="3">
        <f t="shared" si="17"/>
        <v>1009.0295120623556</v>
      </c>
      <c r="T60" s="3">
        <f t="shared" si="17"/>
        <v>1032.9223004043899</v>
      </c>
      <c r="U60" s="3">
        <f t="shared" si="17"/>
        <v>1057.2218249168614</v>
      </c>
      <c r="V60" s="3">
        <f>V46</f>
        <v>1082.5510237637159</v>
      </c>
      <c r="AB60" s="5" t="s">
        <v>13</v>
      </c>
      <c r="AC60" s="3">
        <f>AC46</f>
        <v>743.88800000000003</v>
      </c>
      <c r="AD60" s="3">
        <f>AD46</f>
        <v>703.65099999999995</v>
      </c>
      <c r="AE60" s="3">
        <f t="shared" ref="AE60:AM60" si="18">AE46</f>
        <v>710.68750999999997</v>
      </c>
      <c r="AF60" s="3">
        <f t="shared" si="18"/>
        <v>726.99047372406471</v>
      </c>
      <c r="AG60" s="3">
        <f t="shared" si="18"/>
        <v>744.27646658419303</v>
      </c>
      <c r="AH60" s="3">
        <f t="shared" si="18"/>
        <v>761.24074081797335</v>
      </c>
      <c r="AI60" s="3">
        <f t="shared" si="18"/>
        <v>779.73190186569104</v>
      </c>
      <c r="AJ60" s="3">
        <f t="shared" si="18"/>
        <v>798.81543371747807</v>
      </c>
      <c r="AK60" s="3">
        <f t="shared" si="18"/>
        <v>818.15770224230687</v>
      </c>
      <c r="AL60" s="3">
        <f t="shared" si="18"/>
        <v>837.6889166270546</v>
      </c>
      <c r="AM60" s="3">
        <f t="shared" si="18"/>
        <v>858.52572988169061</v>
      </c>
    </row>
    <row r="63" spans="10:40" hidden="1">
      <c r="K63">
        <v>2023</v>
      </c>
      <c r="L63" s="4">
        <f>L58*L60</f>
        <v>454.93186000000003</v>
      </c>
      <c r="M63" s="4">
        <f>L60*M58</f>
        <v>223.17411999999999</v>
      </c>
      <c r="N63" s="4">
        <f>L60*N58</f>
        <v>85.836200000000005</v>
      </c>
      <c r="O63" s="4">
        <f>L60*O58</f>
        <v>42.918100000000003</v>
      </c>
      <c r="P63" s="4">
        <f>L60*P58</f>
        <v>17.16724</v>
      </c>
      <c r="Q63" s="4">
        <f>L60*Q58</f>
        <v>8.5836199999999998</v>
      </c>
      <c r="R63" s="4">
        <f>L60*R58</f>
        <v>8.5836199999999998</v>
      </c>
      <c r="S63" s="4">
        <f>L60*S58</f>
        <v>0</v>
      </c>
      <c r="T63" s="4">
        <f>L60*T58</f>
        <v>0</v>
      </c>
      <c r="U63" s="4">
        <f>L60*U58</f>
        <v>0</v>
      </c>
      <c r="V63" s="4">
        <f>L60*V58</f>
        <v>0</v>
      </c>
      <c r="AB63">
        <v>2023</v>
      </c>
      <c r="AC63" s="4">
        <f>AC58*AC60</f>
        <v>394.26064000000002</v>
      </c>
      <c r="AD63" s="4">
        <f>AC60*AD58</f>
        <v>193.41088000000002</v>
      </c>
      <c r="AE63" s="4">
        <f>AC60*AE58</f>
        <v>74.388800000000003</v>
      </c>
      <c r="AF63" s="4">
        <f>AC60*AF58</f>
        <v>37.194400000000002</v>
      </c>
      <c r="AG63" s="4">
        <f>AC60*AG58</f>
        <v>14.87776</v>
      </c>
      <c r="AH63" s="4">
        <f>AC60*AH58</f>
        <v>7.4388800000000002</v>
      </c>
      <c r="AI63" s="4">
        <f>AC60*AI58</f>
        <v>7.4388800000000002</v>
      </c>
      <c r="AJ63" s="4">
        <f>AC60*AJ58</f>
        <v>0</v>
      </c>
      <c r="AK63" s="4">
        <f>AC60*AK58</f>
        <v>0</v>
      </c>
      <c r="AL63" s="4">
        <f>AC60*AL58</f>
        <v>0</v>
      </c>
      <c r="AM63" s="4">
        <f>AC60*AM58</f>
        <v>0</v>
      </c>
    </row>
    <row r="64" spans="10:40" hidden="1">
      <c r="K64">
        <v>2024</v>
      </c>
      <c r="L64" s="4"/>
      <c r="M64" s="4">
        <f>M60*L58</f>
        <v>469.76497000000006</v>
      </c>
      <c r="N64" s="4">
        <f>M60*M58</f>
        <v>230.45074000000002</v>
      </c>
      <c r="O64" s="4">
        <f>M60*N58</f>
        <v>88.634900000000016</v>
      </c>
      <c r="P64" s="4">
        <f>M60*O58</f>
        <v>44.317450000000008</v>
      </c>
      <c r="Q64" s="4">
        <f>M60*P58</f>
        <v>17.726980000000001</v>
      </c>
      <c r="R64" s="4">
        <f>M60*Q58</f>
        <v>8.8634900000000005</v>
      </c>
      <c r="S64" s="4">
        <f>M60*R58</f>
        <v>8.8634900000000005</v>
      </c>
      <c r="T64" s="4">
        <f>M60*S58</f>
        <v>0</v>
      </c>
      <c r="U64" s="4">
        <f>M60*T58</f>
        <v>0</v>
      </c>
      <c r="V64" s="4">
        <f>M60*U58</f>
        <v>0</v>
      </c>
      <c r="AB64">
        <v>2024</v>
      </c>
      <c r="AC64" s="4"/>
      <c r="AD64" s="4">
        <f>AD60*AC58</f>
        <v>372.93502999999998</v>
      </c>
      <c r="AE64" s="4">
        <f>AD60*AD58</f>
        <v>182.94925999999998</v>
      </c>
      <c r="AF64" s="4">
        <f>AD60*AE58</f>
        <v>70.365099999999998</v>
      </c>
      <c r="AG64" s="4">
        <f>AD60*AF58</f>
        <v>35.182549999999999</v>
      </c>
      <c r="AH64" s="4">
        <f>AD60*AG58</f>
        <v>14.07302</v>
      </c>
      <c r="AI64" s="4">
        <f>AD60*AH58</f>
        <v>7.0365099999999998</v>
      </c>
      <c r="AJ64" s="4">
        <f>AD60*AI58</f>
        <v>7.0365099999999998</v>
      </c>
      <c r="AK64" s="4">
        <f>AD60*AJ58</f>
        <v>0</v>
      </c>
      <c r="AL64" s="4">
        <f>AD60*AK58</f>
        <v>0</v>
      </c>
      <c r="AM64" s="4">
        <f>AD60*AL58</f>
        <v>0</v>
      </c>
    </row>
    <row r="65" spans="10:39" hidden="1">
      <c r="K65">
        <v>2025</v>
      </c>
      <c r="L65" s="4"/>
      <c r="M65" s="4"/>
      <c r="N65" s="4">
        <f>N60*L58</f>
        <v>474.4626197</v>
      </c>
      <c r="O65" s="4">
        <f>N60*M58</f>
        <v>232.7552474</v>
      </c>
      <c r="P65" s="4">
        <f>N60*N58</f>
        <v>89.521249000000012</v>
      </c>
      <c r="Q65" s="4">
        <f>N60*O58</f>
        <v>44.760624500000006</v>
      </c>
      <c r="R65" s="4">
        <f>N60*P58</f>
        <v>17.904249799999999</v>
      </c>
      <c r="S65" s="4">
        <f>N60*Q58</f>
        <v>8.9521248999999994</v>
      </c>
      <c r="T65" s="4">
        <f>N60*R58</f>
        <v>8.9521248999999994</v>
      </c>
      <c r="U65" s="4">
        <f>N60*S58</f>
        <v>0</v>
      </c>
      <c r="V65" s="4">
        <f>N60*T58</f>
        <v>0</v>
      </c>
      <c r="AB65">
        <v>2025</v>
      </c>
      <c r="AC65" s="4"/>
      <c r="AD65" s="4"/>
      <c r="AE65" s="4">
        <f>AE60*AC58</f>
        <v>376.6643803</v>
      </c>
      <c r="AF65" s="4">
        <f>AE60*AD58</f>
        <v>184.77875259999999</v>
      </c>
      <c r="AG65" s="4">
        <f>AE60*AE58</f>
        <v>71.068751000000006</v>
      </c>
      <c r="AH65" s="4">
        <f>AE60*AF58</f>
        <v>35.534375500000003</v>
      </c>
      <c r="AI65" s="4">
        <f>AE60*AG58</f>
        <v>14.2137502</v>
      </c>
      <c r="AJ65" s="4">
        <f>AE60*AH58</f>
        <v>7.1068750999999999</v>
      </c>
      <c r="AK65" s="4">
        <f>AE60*AI58</f>
        <v>7.1068750999999999</v>
      </c>
      <c r="AL65" s="4">
        <f>AE60*AJ58</f>
        <v>0</v>
      </c>
      <c r="AM65" s="4">
        <f>AE60*AK58</f>
        <v>0</v>
      </c>
    </row>
    <row r="66" spans="10:39" hidden="1">
      <c r="K66">
        <v>2026</v>
      </c>
      <c r="L66" s="4"/>
      <c r="M66" s="4"/>
      <c r="N66" s="4"/>
      <c r="O66" s="4">
        <f>O60*L58</f>
        <v>486.33886175385391</v>
      </c>
      <c r="P66" s="4">
        <f>O60*M58</f>
        <v>238.58132840755096</v>
      </c>
      <c r="Q66" s="4">
        <f>O60*N58</f>
        <v>91.762049387519596</v>
      </c>
      <c r="R66" s="4">
        <f>O60*O58</f>
        <v>45.881024693759798</v>
      </c>
      <c r="S66" s="4">
        <f>O60*P58</f>
        <v>18.35240987750392</v>
      </c>
      <c r="T66" s="4">
        <f>O60*Q58</f>
        <v>9.17620493875196</v>
      </c>
      <c r="U66" s="4">
        <f>O60*R58</f>
        <v>9.17620493875196</v>
      </c>
      <c r="V66" s="4">
        <f>O60*S58</f>
        <v>0</v>
      </c>
      <c r="AB66">
        <v>2026</v>
      </c>
      <c r="AC66" s="4"/>
      <c r="AD66" s="4"/>
      <c r="AE66" s="4"/>
      <c r="AF66" s="4">
        <f>AF60*AC58</f>
        <v>385.3049510737543</v>
      </c>
      <c r="AG66" s="4">
        <f>AF60*AD58</f>
        <v>189.01752316825684</v>
      </c>
      <c r="AH66" s="4">
        <f>AF60*AE58</f>
        <v>72.699047372406469</v>
      </c>
      <c r="AI66" s="4">
        <f>AF60*AF58</f>
        <v>36.349523686203234</v>
      </c>
      <c r="AJ66" s="4">
        <f>AF60*AG58</f>
        <v>14.539809474481295</v>
      </c>
      <c r="AK66" s="4">
        <f>AF60*AH58</f>
        <v>7.2699047372406476</v>
      </c>
      <c r="AL66" s="4">
        <f>AF60*AI58</f>
        <v>7.2699047372406476</v>
      </c>
      <c r="AM66" s="4">
        <f>AF60*AJ58</f>
        <v>0</v>
      </c>
    </row>
    <row r="67" spans="10:39" hidden="1">
      <c r="K67">
        <v>2027</v>
      </c>
      <c r="L67" s="4"/>
      <c r="M67" s="4"/>
      <c r="N67" s="4"/>
      <c r="O67" s="4"/>
      <c r="P67" s="4">
        <f>P60*L58</f>
        <v>498.27789123595971</v>
      </c>
      <c r="Q67" s="4">
        <f>P60*M58</f>
        <v>244.43821079499909</v>
      </c>
      <c r="R67" s="4">
        <f>P60*N58</f>
        <v>94.014696459615038</v>
      </c>
      <c r="S67" s="4">
        <f>P60*O58</f>
        <v>47.007348229807519</v>
      </c>
      <c r="T67" s="4">
        <f>P60*P58</f>
        <v>18.802939291923007</v>
      </c>
      <c r="U67" s="4">
        <f>P60*Q58</f>
        <v>9.4014696459615035</v>
      </c>
      <c r="V67" s="4">
        <f>P60*R58</f>
        <v>9.4014696459615035</v>
      </c>
      <c r="AB67">
        <v>2027</v>
      </c>
      <c r="AC67" s="4"/>
      <c r="AD67" s="4"/>
      <c r="AE67" s="4"/>
      <c r="AF67" s="4"/>
      <c r="AG67" s="4">
        <f>AG60*AC58</f>
        <v>394.46652728962232</v>
      </c>
      <c r="AH67" s="4">
        <f>AG60*AD58</f>
        <v>193.51188131189019</v>
      </c>
      <c r="AI67" s="4">
        <f>AG60*AE58</f>
        <v>74.427646658419306</v>
      </c>
      <c r="AJ67" s="4">
        <f>AG60*AF58</f>
        <v>37.213823329209653</v>
      </c>
      <c r="AK67" s="4">
        <f>AG60*AG58</f>
        <v>14.885529331683861</v>
      </c>
      <c r="AL67" s="4">
        <f>AG60*AH58</f>
        <v>7.4427646658419304</v>
      </c>
      <c r="AM67" s="4">
        <f>AG60*AI58</f>
        <v>7.4427646658419304</v>
      </c>
    </row>
    <row r="68" spans="10:39" hidden="1">
      <c r="K68">
        <v>2028</v>
      </c>
      <c r="L68" s="4"/>
      <c r="M68" s="4"/>
      <c r="N68" s="4"/>
      <c r="O68" s="4"/>
      <c r="P68" s="4"/>
      <c r="Q68" s="4">
        <f>Q60*L58</f>
        <v>510.25459317501674</v>
      </c>
      <c r="R68" s="4">
        <f>Q60*M58</f>
        <v>250.31357401038557</v>
      </c>
      <c r="S68" s="4">
        <f>Q60*N58</f>
        <v>96.274451542455992</v>
      </c>
      <c r="T68" s="4">
        <f>Q60*O58</f>
        <v>48.137225771227996</v>
      </c>
      <c r="U68" s="4">
        <f>Q60*P58</f>
        <v>19.254890308491198</v>
      </c>
      <c r="V68" s="4">
        <f>Q60*Q58</f>
        <v>9.6274451542455992</v>
      </c>
      <c r="AB68">
        <v>2028</v>
      </c>
      <c r="AC68" s="4"/>
      <c r="AD68" s="4"/>
      <c r="AE68" s="4"/>
      <c r="AF68" s="4"/>
      <c r="AG68" s="4"/>
      <c r="AH68" s="4">
        <f>AH60*AC58</f>
        <v>403.45759263352591</v>
      </c>
      <c r="AI68" s="4">
        <f>AH60*AD58</f>
        <v>197.92259261267307</v>
      </c>
      <c r="AJ68" s="4">
        <f>AH60*AE58</f>
        <v>76.124074081797332</v>
      </c>
      <c r="AK68" s="4">
        <f>AH60*AF58</f>
        <v>38.062037040898666</v>
      </c>
      <c r="AL68" s="4">
        <f>AH60*AG58</f>
        <v>15.224814816359467</v>
      </c>
      <c r="AM68" s="4">
        <f>AH60*AH58</f>
        <v>7.6124074081797337</v>
      </c>
    </row>
    <row r="69" spans="10:39" hidden="1">
      <c r="K69">
        <v>2029</v>
      </c>
      <c r="L69" s="4"/>
      <c r="M69" s="4"/>
      <c r="N69" s="4"/>
      <c r="O69" s="4"/>
      <c r="P69" s="4"/>
      <c r="Q69" s="4"/>
      <c r="R69" s="4">
        <f>R60*L58</f>
        <v>522.29408254232567</v>
      </c>
      <c r="S69" s="4">
        <f>R60*M58</f>
        <v>256.21973860566919</v>
      </c>
      <c r="T69" s="4">
        <f>R60*N58</f>
        <v>98.546053309872775</v>
      </c>
      <c r="U69" s="4">
        <f>R60*O58</f>
        <v>49.273026654936388</v>
      </c>
      <c r="V69" s="4">
        <f>R60*P58</f>
        <v>19.709210661974552</v>
      </c>
      <c r="AB69">
        <v>2029</v>
      </c>
      <c r="AC69" s="4"/>
      <c r="AD69" s="4"/>
      <c r="AE69" s="4"/>
      <c r="AF69" s="4"/>
      <c r="AG69" s="4"/>
      <c r="AH69" s="4"/>
      <c r="AI69" s="4">
        <f>AI60*AC58</f>
        <v>413.25790798881627</v>
      </c>
      <c r="AJ69" s="4">
        <f>AI60*AD58</f>
        <v>202.73029448507967</v>
      </c>
      <c r="AK69" s="4">
        <f>AI60*AE58</f>
        <v>77.973190186569113</v>
      </c>
      <c r="AL69" s="4">
        <f>AI60*AF58</f>
        <v>38.986595093284556</v>
      </c>
      <c r="AM69" s="4">
        <f>AI60*AG58</f>
        <v>15.594638037313821</v>
      </c>
    </row>
    <row r="70" spans="10:39" hidden="1">
      <c r="K70">
        <v>2030</v>
      </c>
      <c r="L70" s="4"/>
      <c r="M70" s="4"/>
      <c r="N70" s="4"/>
      <c r="O70" s="4"/>
      <c r="P70" s="4"/>
      <c r="Q70" s="4"/>
      <c r="R70" s="4"/>
      <c r="S70" s="4">
        <f>S60*L58</f>
        <v>534.78564139304854</v>
      </c>
      <c r="T70" s="4">
        <f>S60*M58</f>
        <v>262.34767313621245</v>
      </c>
      <c r="U70" s="4">
        <f>S60*N58</f>
        <v>100.90295120623557</v>
      </c>
      <c r="V70" s="4">
        <f>S60*O58</f>
        <v>50.451475603117785</v>
      </c>
      <c r="AB70">
        <v>2030</v>
      </c>
      <c r="AC70" s="4"/>
      <c r="AD70" s="4"/>
      <c r="AE70" s="4"/>
      <c r="AF70" s="4"/>
      <c r="AG70" s="4"/>
      <c r="AH70" s="4"/>
      <c r="AI70" s="4"/>
      <c r="AJ70" s="4">
        <f>AJ60*AC58</f>
        <v>423.37217987026338</v>
      </c>
      <c r="AK70" s="4">
        <f>AJ60*AD58</f>
        <v>207.69201276654431</v>
      </c>
      <c r="AL70" s="4">
        <f>AJ60*AE58</f>
        <v>79.88154337174781</v>
      </c>
      <c r="AM70" s="4">
        <f>AJ60*AF58</f>
        <v>39.940771685873905</v>
      </c>
    </row>
    <row r="71" spans="10:39" hidden="1">
      <c r="K71">
        <v>2031</v>
      </c>
      <c r="L71" s="4"/>
      <c r="M71" s="4"/>
      <c r="N71" s="4"/>
      <c r="O71" s="4"/>
      <c r="P71" s="4"/>
      <c r="Q71" s="4"/>
      <c r="R71" s="4"/>
      <c r="S71" s="4"/>
      <c r="T71" s="4">
        <f>T60*L58</f>
        <v>547.4488192143267</v>
      </c>
      <c r="U71" s="4">
        <f>T60*M58</f>
        <v>268.5597981051414</v>
      </c>
      <c r="V71" s="4">
        <f>T60*N58</f>
        <v>103.29223004043899</v>
      </c>
      <c r="AB71">
        <v>2031</v>
      </c>
      <c r="AC71" s="4"/>
      <c r="AD71" s="4"/>
      <c r="AE71" s="4"/>
      <c r="AF71" s="4"/>
      <c r="AG71" s="4"/>
      <c r="AH71" s="4"/>
      <c r="AI71" s="4"/>
      <c r="AJ71" s="4"/>
      <c r="AK71" s="4">
        <f>AK60*AC58</f>
        <v>433.62358218842269</v>
      </c>
      <c r="AL71" s="4">
        <f>AK60*AD58</f>
        <v>212.7210025829998</v>
      </c>
      <c r="AM71" s="4">
        <f>AK60*AE58</f>
        <v>81.81577022423069</v>
      </c>
    </row>
    <row r="72" spans="10:39" hidden="1">
      <c r="K72">
        <v>2032</v>
      </c>
      <c r="L72" s="4"/>
      <c r="M72" s="4"/>
      <c r="N72" s="4"/>
      <c r="O72" s="4"/>
      <c r="P72" s="4"/>
      <c r="Q72" s="4"/>
      <c r="R72" s="4"/>
      <c r="S72" s="4"/>
      <c r="T72" s="4"/>
      <c r="U72" s="4">
        <f>U60*L58</f>
        <v>560.32756720593659</v>
      </c>
      <c r="V72" s="4">
        <f>U60*M58</f>
        <v>274.87767447838394</v>
      </c>
      <c r="AB72">
        <v>2032</v>
      </c>
      <c r="AC72" s="4"/>
      <c r="AD72" s="4"/>
      <c r="AE72" s="4"/>
      <c r="AF72" s="4"/>
      <c r="AG72" s="4"/>
      <c r="AH72" s="4"/>
      <c r="AI72" s="4"/>
      <c r="AJ72" s="4"/>
      <c r="AK72" s="4"/>
      <c r="AL72" s="4">
        <f>AL60*AC58</f>
        <v>443.97512581233894</v>
      </c>
      <c r="AM72" s="4">
        <f>AL60*AD58</f>
        <v>217.79911832303421</v>
      </c>
    </row>
    <row r="73" spans="10:39" hidden="1">
      <c r="K73">
        <v>2033</v>
      </c>
      <c r="L73" s="4"/>
      <c r="M73" s="4"/>
      <c r="N73" s="4"/>
      <c r="O73" s="4"/>
      <c r="P73" s="4"/>
      <c r="Q73" s="4"/>
      <c r="R73" s="4"/>
      <c r="S73" s="4"/>
      <c r="T73" s="4"/>
      <c r="U73" s="4"/>
      <c r="V73" s="4">
        <f>V60*L58</f>
        <v>573.75204259476948</v>
      </c>
      <c r="AB73">
        <v>2033</v>
      </c>
      <c r="AC73" s="4"/>
      <c r="AD73" s="4"/>
      <c r="AE73" s="4"/>
      <c r="AF73" s="4"/>
      <c r="AG73" s="4"/>
      <c r="AH73" s="4"/>
      <c r="AI73" s="4"/>
      <c r="AJ73" s="4"/>
      <c r="AK73" s="4"/>
      <c r="AL73" s="4"/>
      <c r="AM73" s="4">
        <f>AM60*AC58</f>
        <v>455.01863683729607</v>
      </c>
    </row>
    <row r="74" spans="10:39" hidden="1">
      <c r="K74" s="4" t="s">
        <v>14</v>
      </c>
      <c r="L74" s="4">
        <f>SUM(L61:L73)</f>
        <v>454.93186000000003</v>
      </c>
      <c r="M74" s="4">
        <f>SUM(M61:M73)</f>
        <v>692.93909000000008</v>
      </c>
      <c r="N74" s="4">
        <f t="shared" ref="N74:V74" si="19">SUM(N61:N73)</f>
        <v>790.74955969999996</v>
      </c>
      <c r="O74" s="4">
        <f t="shared" si="19"/>
        <v>850.64710915385399</v>
      </c>
      <c r="P74" s="4">
        <f t="shared" si="19"/>
        <v>887.86515864351065</v>
      </c>
      <c r="Q74" s="4">
        <f t="shared" si="19"/>
        <v>917.52607785753548</v>
      </c>
      <c r="R74" s="4">
        <f t="shared" si="19"/>
        <v>947.85473750608605</v>
      </c>
      <c r="S74" s="4">
        <f t="shared" si="19"/>
        <v>970.4552045484852</v>
      </c>
      <c r="T74" s="4">
        <f t="shared" si="19"/>
        <v>993.41104056231484</v>
      </c>
      <c r="U74" s="4">
        <f t="shared" si="19"/>
        <v>1016.8959080654546</v>
      </c>
      <c r="V74" s="4">
        <f t="shared" si="19"/>
        <v>1041.1115481788918</v>
      </c>
      <c r="AB74" s="4" t="s">
        <v>14</v>
      </c>
      <c r="AC74" s="4">
        <f>SUM(AC61:AC73)</f>
        <v>394.26064000000002</v>
      </c>
      <c r="AD74" s="4">
        <f>SUM(AD61:AD73)</f>
        <v>566.34591</v>
      </c>
      <c r="AE74" s="4">
        <f t="shared" ref="AE74:AM74" si="20">SUM(AE61:AE73)</f>
        <v>634.00244029999999</v>
      </c>
      <c r="AF74" s="4">
        <f t="shared" si="20"/>
        <v>677.64320367375421</v>
      </c>
      <c r="AG74" s="4">
        <f t="shared" si="20"/>
        <v>704.61311145787909</v>
      </c>
      <c r="AH74" s="4">
        <f t="shared" si="20"/>
        <v>726.71479681782262</v>
      </c>
      <c r="AI74" s="4">
        <f t="shared" si="20"/>
        <v>750.64681114611199</v>
      </c>
      <c r="AJ74" s="4">
        <f t="shared" si="20"/>
        <v>768.1235663408313</v>
      </c>
      <c r="AK74" s="4">
        <f t="shared" si="20"/>
        <v>786.61313135135924</v>
      </c>
      <c r="AL74" s="4">
        <f t="shared" si="20"/>
        <v>805.50175107981318</v>
      </c>
      <c r="AM74" s="4">
        <f t="shared" si="20"/>
        <v>825.22410718177036</v>
      </c>
    </row>
    <row r="76" spans="10:39" hidden="1">
      <c r="J76" s="2" t="s">
        <v>15</v>
      </c>
      <c r="L76">
        <v>2023</v>
      </c>
      <c r="M76">
        <v>2024</v>
      </c>
      <c r="N76">
        <v>2025</v>
      </c>
      <c r="O76">
        <v>2026</v>
      </c>
      <c r="P76">
        <v>2027</v>
      </c>
      <c r="Q76">
        <v>2028</v>
      </c>
      <c r="R76">
        <v>2029</v>
      </c>
      <c r="S76">
        <v>2030</v>
      </c>
      <c r="T76">
        <v>2031</v>
      </c>
      <c r="U76">
        <v>2032</v>
      </c>
      <c r="V76">
        <v>2033</v>
      </c>
      <c r="AA76" s="2" t="s">
        <v>15</v>
      </c>
      <c r="AC76">
        <v>2023</v>
      </c>
      <c r="AD76">
        <v>2024</v>
      </c>
      <c r="AE76">
        <v>2025</v>
      </c>
      <c r="AF76">
        <v>2026</v>
      </c>
      <c r="AG76">
        <v>2027</v>
      </c>
      <c r="AH76">
        <v>2028</v>
      </c>
      <c r="AI76">
        <v>2029</v>
      </c>
      <c r="AJ76">
        <v>2030</v>
      </c>
      <c r="AK76">
        <v>2031</v>
      </c>
      <c r="AL76">
        <v>2032</v>
      </c>
      <c r="AM76">
        <v>2033</v>
      </c>
    </row>
    <row r="77" spans="10:39" hidden="1">
      <c r="K77" s="4" t="s">
        <v>16</v>
      </c>
      <c r="L77" s="4">
        <v>0</v>
      </c>
      <c r="M77" s="4">
        <f>M51</f>
        <v>1.2322500000000218</v>
      </c>
      <c r="N77" s="4">
        <f t="shared" ref="N77:V77" si="21">N51</f>
        <v>-5.5358203000000685</v>
      </c>
      <c r="O77" s="4">
        <f t="shared" si="21"/>
        <v>-9.0737508461459129</v>
      </c>
      <c r="P77" s="4">
        <f t="shared" si="21"/>
        <v>-10.578461356489242</v>
      </c>
      <c r="Q77" s="4">
        <f t="shared" si="21"/>
        <v>-11.487282142464437</v>
      </c>
      <c r="R77" s="4">
        <f t="shared" si="21"/>
        <v>-12.017742493913829</v>
      </c>
      <c r="S77" s="4">
        <f t="shared" si="21"/>
        <v>-12.421315451514602</v>
      </c>
      <c r="T77" s="4">
        <f t="shared" si="21"/>
        <v>-12.856359437684887</v>
      </c>
      <c r="U77" s="4">
        <f t="shared" si="21"/>
        <v>-13.160291934545171</v>
      </c>
      <c r="V77" s="4">
        <f t="shared" si="21"/>
        <v>-13.473681821107903</v>
      </c>
      <c r="AB77" s="4" t="s">
        <v>16</v>
      </c>
      <c r="AC77" s="4">
        <v>0</v>
      </c>
      <c r="AD77" s="4">
        <f>AD51</f>
        <v>-59.403459999999995</v>
      </c>
      <c r="AE77" s="4">
        <f t="shared" ref="AE77:AM77" si="22">AE51</f>
        <v>-95.034889700000008</v>
      </c>
      <c r="AF77" s="4">
        <f t="shared" si="22"/>
        <v>-110.93849632624574</v>
      </c>
      <c r="AG77" s="4">
        <f t="shared" si="22"/>
        <v>-120.11139854212092</v>
      </c>
      <c r="AH77" s="4">
        <f t="shared" si="22"/>
        <v>-125.60965318217745</v>
      </c>
      <c r="AI77" s="4">
        <f t="shared" si="22"/>
        <v>-129.90645885388813</v>
      </c>
      <c r="AJ77" s="4">
        <f t="shared" si="22"/>
        <v>-134.26519365916886</v>
      </c>
      <c r="AK77" s="4">
        <f t="shared" si="22"/>
        <v>-137.60989864864086</v>
      </c>
      <c r="AL77" s="4">
        <f t="shared" si="22"/>
        <v>-140.91426892018694</v>
      </c>
      <c r="AM77" s="4">
        <f t="shared" si="22"/>
        <v>-144.36449281822968</v>
      </c>
    </row>
    <row r="78" spans="10:39" ht="15.6" hidden="1">
      <c r="K78" s="7"/>
      <c r="L78" s="8"/>
      <c r="M78" s="8"/>
      <c r="N78" s="8"/>
      <c r="O78" s="8"/>
      <c r="P78" s="8"/>
      <c r="Q78" s="8"/>
      <c r="R78" s="8"/>
      <c r="S78" s="8"/>
      <c r="T78" s="8"/>
      <c r="U78" s="8"/>
      <c r="V78" s="8"/>
      <c r="AB78" s="7"/>
      <c r="AC78" s="8"/>
      <c r="AD78" s="8"/>
      <c r="AE78" s="8"/>
      <c r="AF78" s="8"/>
      <c r="AG78" s="8"/>
      <c r="AH78" s="8"/>
      <c r="AI78" s="8"/>
      <c r="AJ78" s="8"/>
      <c r="AK78" s="8"/>
      <c r="AL78" s="8"/>
      <c r="AM78" s="8"/>
    </row>
    <row r="79" spans="10:39" hidden="1">
      <c r="K79" s="4" t="s">
        <v>17</v>
      </c>
      <c r="L79" s="4"/>
      <c r="M79" s="4"/>
      <c r="N79" s="4"/>
      <c r="O79" s="4"/>
      <c r="P79" s="4"/>
      <c r="Q79" s="4"/>
      <c r="R79" s="4"/>
      <c r="S79" s="4"/>
      <c r="T79" s="4"/>
      <c r="U79" s="4"/>
      <c r="V79" s="4"/>
      <c r="AB79" s="4" t="s">
        <v>17</v>
      </c>
      <c r="AC79" s="4"/>
      <c r="AD79" s="4"/>
      <c r="AE79" s="4"/>
      <c r="AF79" s="4"/>
      <c r="AG79" s="4"/>
      <c r="AH79" s="4"/>
      <c r="AI79" s="4"/>
      <c r="AJ79" s="4"/>
      <c r="AK79" s="4"/>
      <c r="AL79" s="4"/>
      <c r="AM79" s="4"/>
    </row>
    <row r="80" spans="10:39" hidden="1">
      <c r="K80" s="4">
        <f>L77</f>
        <v>0</v>
      </c>
      <c r="L80" s="4">
        <f>IF(+L95&gt;0,+K80*L95," ")</f>
        <v>0</v>
      </c>
      <c r="M80" s="4">
        <f t="shared" ref="M80:M90" si="23">IF(+M95&gt;0,+K80*M95," ")</f>
        <v>0</v>
      </c>
      <c r="N80" s="4">
        <f t="shared" ref="N80:N90" si="24">IF(+N95&gt;0,+K80*N95," ")</f>
        <v>0</v>
      </c>
      <c r="O80" s="4">
        <f t="shared" ref="O80:O90" si="25">IF(+O95&gt;0,+K80*O95," ")</f>
        <v>0</v>
      </c>
      <c r="P80" s="4">
        <f t="shared" ref="P80:P90" si="26">IF(+P95&gt;0,+K80*P95," ")</f>
        <v>0</v>
      </c>
      <c r="Q80" s="4">
        <f t="shared" ref="Q80:Q90" si="27">IF(+Q95&gt;0,+K80*Q95," ")</f>
        <v>0</v>
      </c>
      <c r="R80" s="4">
        <f t="shared" ref="R80:R90" si="28">IF(+R95&gt;0,+K80*R95," ")</f>
        <v>0</v>
      </c>
      <c r="S80" s="4">
        <f t="shared" ref="S80:S87" si="29">IF(+S95&gt;0,+K80*S95," ")</f>
        <v>0</v>
      </c>
      <c r="T80" s="4">
        <f t="shared" ref="T80:T88" si="30">IF(+T95&gt;0,+K80*T95," ")</f>
        <v>0</v>
      </c>
      <c r="U80" s="4">
        <f t="shared" ref="U80:U90" si="31">IF(+U95&gt;0,+K80*U95," ")</f>
        <v>0</v>
      </c>
      <c r="V80" s="4">
        <f t="shared" ref="V80:V90" si="32">IF(+V95&gt;0,+K80*V95," ")</f>
        <v>0</v>
      </c>
      <c r="AB80" s="4">
        <f>AC77</f>
        <v>0</v>
      </c>
      <c r="AC80" s="4">
        <f>IF(+AC95&gt;0,+AB80*AC95," ")</f>
        <v>0</v>
      </c>
      <c r="AD80" s="4">
        <f t="shared" ref="AD80:AD90" si="33">IF(+AD95&gt;0,+AB80*AD95," ")</f>
        <v>0</v>
      </c>
      <c r="AE80" s="4">
        <f t="shared" ref="AE80:AE90" si="34">IF(+AE95&gt;0,+AB80*AE95," ")</f>
        <v>0</v>
      </c>
      <c r="AF80" s="4">
        <f t="shared" ref="AF80:AF90" si="35">IF(+AF95&gt;0,+AB80*AF95," ")</f>
        <v>0</v>
      </c>
      <c r="AG80" s="4">
        <f t="shared" ref="AG80:AG90" si="36">IF(+AG95&gt;0,+AB80*AG95," ")</f>
        <v>0</v>
      </c>
      <c r="AH80" s="4">
        <f t="shared" ref="AH80:AH90" si="37">IF(+AH95&gt;0,+AB80*AH95," ")</f>
        <v>0</v>
      </c>
      <c r="AI80" s="4">
        <f t="shared" ref="AI80:AI90" si="38">IF(+AI95&gt;0,+AB80*AI95," ")</f>
        <v>0</v>
      </c>
      <c r="AJ80" s="4">
        <f t="shared" ref="AJ80:AJ87" si="39">IF(+AJ95&gt;0,+AB80*AJ95," ")</f>
        <v>0</v>
      </c>
      <c r="AK80" s="4">
        <f t="shared" ref="AK80:AK88" si="40">IF(+AK95&gt;0,+AB80*AK95," ")</f>
        <v>0</v>
      </c>
      <c r="AL80" s="4">
        <f t="shared" ref="AL80:AL90" si="41">IF(+AL95&gt;0,+AB80*AL95," ")</f>
        <v>0</v>
      </c>
      <c r="AM80" s="4">
        <f t="shared" ref="AM80:AM90" si="42">IF(+AM95&gt;0,+AB80*AM95," ")</f>
        <v>0</v>
      </c>
    </row>
    <row r="81" spans="11:39" hidden="1">
      <c r="K81" s="4">
        <f>M77</f>
        <v>1.2322500000000218</v>
      </c>
      <c r="L81" s="4"/>
      <c r="M81" s="4">
        <f t="shared" si="23"/>
        <v>1.3924425000000245E-2</v>
      </c>
      <c r="N81" s="4">
        <f t="shared" si="24"/>
        <v>4.2142950000000748E-2</v>
      </c>
      <c r="O81" s="4">
        <f t="shared" si="25"/>
        <v>4.1157150000000725E-2</v>
      </c>
      <c r="P81" s="4">
        <f t="shared" si="26"/>
        <v>4.1033925000000727E-2</v>
      </c>
      <c r="Q81" s="4">
        <f t="shared" si="27"/>
        <v>4.1896500000000746E-2</v>
      </c>
      <c r="R81" s="4">
        <f t="shared" si="28"/>
        <v>4.2635850000000752E-2</v>
      </c>
      <c r="S81" s="4">
        <f t="shared" si="29"/>
        <v>4.3744875000000773E-2</v>
      </c>
      <c r="T81" s="4">
        <f t="shared" si="30"/>
        <v>4.4607450000000791E-2</v>
      </c>
      <c r="U81" s="4">
        <f t="shared" si="31"/>
        <v>4.5346800000000805E-2</v>
      </c>
      <c r="V81" s="4">
        <f t="shared" si="32"/>
        <v>4.6825500000000832E-2</v>
      </c>
      <c r="AB81" s="4">
        <f>AD77</f>
        <v>-59.403459999999995</v>
      </c>
      <c r="AC81" s="4"/>
      <c r="AD81" s="4">
        <f t="shared" si="33"/>
        <v>-0.67125909799999994</v>
      </c>
      <c r="AE81" s="4">
        <f t="shared" si="34"/>
        <v>-2.0315983319999997</v>
      </c>
      <c r="AF81" s="4">
        <f t="shared" si="35"/>
        <v>-1.9840755639999998</v>
      </c>
      <c r="AG81" s="4">
        <f t="shared" si="36"/>
        <v>-1.978135218</v>
      </c>
      <c r="AH81" s="4">
        <f t="shared" si="37"/>
        <v>-2.0197176400000001</v>
      </c>
      <c r="AI81" s="4">
        <f t="shared" si="38"/>
        <v>-2.0553597159999999</v>
      </c>
      <c r="AJ81" s="4">
        <f t="shared" si="39"/>
        <v>-2.1088228299999998</v>
      </c>
      <c r="AK81" s="4">
        <f t="shared" si="40"/>
        <v>-2.1504052520000001</v>
      </c>
      <c r="AL81" s="4">
        <f t="shared" si="41"/>
        <v>-2.1860473279999999</v>
      </c>
      <c r="AM81" s="4">
        <f t="shared" si="42"/>
        <v>-2.2573314799999999</v>
      </c>
    </row>
    <row r="82" spans="11:39" hidden="1">
      <c r="K82" s="4">
        <f>N77</f>
        <v>-5.5358203000000685</v>
      </c>
      <c r="L82" s="4" t="str">
        <f t="shared" ref="L82:L90" si="43">IF(+L97&gt;0,+K82*L97," ")</f>
        <v xml:space="preserve"> </v>
      </c>
      <c r="M82" s="4" t="str">
        <f t="shared" si="23"/>
        <v xml:space="preserve"> </v>
      </c>
      <c r="N82" s="4">
        <f t="shared" si="24"/>
        <v>-7.085849984000088E-2</v>
      </c>
      <c r="O82" s="4">
        <f t="shared" si="25"/>
        <v>-0.16552102697000204</v>
      </c>
      <c r="P82" s="4">
        <f t="shared" si="26"/>
        <v>-0.16828893712000209</v>
      </c>
      <c r="Q82" s="4">
        <f t="shared" si="27"/>
        <v>-0.17271759336000214</v>
      </c>
      <c r="R82" s="4">
        <f t="shared" si="28"/>
        <v>-0.17714624960000219</v>
      </c>
      <c r="S82" s="4">
        <f t="shared" si="29"/>
        <v>-0.18268206990000227</v>
      </c>
      <c r="T82" s="4">
        <f t="shared" si="30"/>
        <v>-0.18766430817000232</v>
      </c>
      <c r="U82" s="4">
        <f t="shared" si="31"/>
        <v>-0.1932001284700024</v>
      </c>
      <c r="V82" s="4">
        <f t="shared" si="32"/>
        <v>-0.19873594877000247</v>
      </c>
      <c r="AB82" s="4">
        <f>AE77</f>
        <v>-95.034889700000008</v>
      </c>
      <c r="AC82" s="4" t="str">
        <f t="shared" ref="AC82:AC90" si="44">IF(+AC97&gt;0,+AB82*AC97," ")</f>
        <v xml:space="preserve"> </v>
      </c>
      <c r="AD82" s="4" t="str">
        <f t="shared" si="33"/>
        <v xml:space="preserve"> </v>
      </c>
      <c r="AE82" s="4">
        <f t="shared" si="34"/>
        <v>-1.2164465881600002</v>
      </c>
      <c r="AF82" s="4">
        <f t="shared" si="35"/>
        <v>-2.84154320203</v>
      </c>
      <c r="AG82" s="4">
        <f t="shared" si="36"/>
        <v>-2.8890606468800004</v>
      </c>
      <c r="AH82" s="4">
        <f t="shared" si="37"/>
        <v>-2.9650885586400002</v>
      </c>
      <c r="AI82" s="4">
        <f t="shared" si="38"/>
        <v>-3.0411164704000004</v>
      </c>
      <c r="AJ82" s="4">
        <f t="shared" si="39"/>
        <v>-3.1361513601000004</v>
      </c>
      <c r="AK82" s="4">
        <f t="shared" si="40"/>
        <v>-3.2216827608300003</v>
      </c>
      <c r="AL82" s="4">
        <f t="shared" si="41"/>
        <v>-3.3167176505300002</v>
      </c>
      <c r="AM82" s="4">
        <f t="shared" si="42"/>
        <v>-3.4117525402300006</v>
      </c>
    </row>
    <row r="83" spans="11:39" hidden="1">
      <c r="K83" s="4">
        <f>O77</f>
        <v>-9.0737508461459129</v>
      </c>
      <c r="L83" s="4" t="str">
        <f t="shared" si="43"/>
        <v xml:space="preserve"> </v>
      </c>
      <c r="M83" s="4" t="str">
        <f t="shared" si="23"/>
        <v xml:space="preserve"> </v>
      </c>
      <c r="N83" s="4" t="str">
        <f t="shared" si="24"/>
        <v xml:space="preserve"> </v>
      </c>
      <c r="O83" s="4">
        <f t="shared" si="25"/>
        <v>-0.11705138591528227</v>
      </c>
      <c r="P83" s="4">
        <f t="shared" si="26"/>
        <v>-0.26132402436900226</v>
      </c>
      <c r="Q83" s="4">
        <f t="shared" si="27"/>
        <v>-0.27039777521514818</v>
      </c>
      <c r="R83" s="4">
        <f t="shared" si="28"/>
        <v>-0.27765677589206494</v>
      </c>
      <c r="S83" s="4">
        <f t="shared" si="29"/>
        <v>-0.28673052673821087</v>
      </c>
      <c r="T83" s="4">
        <f t="shared" si="30"/>
        <v>-0.29580427758435673</v>
      </c>
      <c r="U83" s="4">
        <f t="shared" si="31"/>
        <v>-0.30397065334588808</v>
      </c>
      <c r="V83" s="4">
        <f t="shared" si="32"/>
        <v>-0.31395177927664858</v>
      </c>
      <c r="AB83" s="4">
        <f>AF77</f>
        <v>-110.93849632624574</v>
      </c>
      <c r="AC83" s="4" t="str">
        <f t="shared" si="44"/>
        <v xml:space="preserve"> </v>
      </c>
      <c r="AD83" s="4" t="str">
        <f t="shared" si="33"/>
        <v xml:space="preserve"> </v>
      </c>
      <c r="AE83" s="4" t="str">
        <f t="shared" si="34"/>
        <v xml:space="preserve"> </v>
      </c>
      <c r="AF83" s="4">
        <f t="shared" si="35"/>
        <v>-1.4311066026085701</v>
      </c>
      <c r="AG83" s="4">
        <f t="shared" si="36"/>
        <v>-3.1950286941958774</v>
      </c>
      <c r="AH83" s="4">
        <f t="shared" si="37"/>
        <v>-3.3059671905221233</v>
      </c>
      <c r="AI83" s="4">
        <f t="shared" si="38"/>
        <v>-3.3947179875831197</v>
      </c>
      <c r="AJ83" s="4">
        <f t="shared" si="39"/>
        <v>-3.5056564839093656</v>
      </c>
      <c r="AK83" s="4">
        <f t="shared" si="40"/>
        <v>-3.616594980235611</v>
      </c>
      <c r="AL83" s="4">
        <f t="shared" si="41"/>
        <v>-3.7164396269292324</v>
      </c>
      <c r="AM83" s="4">
        <f t="shared" si="42"/>
        <v>-3.8384719728881023</v>
      </c>
    </row>
    <row r="84" spans="11:39" hidden="1">
      <c r="K84" s="4">
        <f>P77</f>
        <v>-10.578461356489242</v>
      </c>
      <c r="L84" s="4" t="str">
        <f t="shared" si="43"/>
        <v xml:space="preserve"> </v>
      </c>
      <c r="M84" s="4" t="str">
        <f t="shared" si="23"/>
        <v xml:space="preserve"> </v>
      </c>
      <c r="N84" s="4" t="str">
        <f t="shared" si="24"/>
        <v xml:space="preserve"> </v>
      </c>
      <c r="O84" s="4" t="str">
        <f t="shared" si="25"/>
        <v xml:space="preserve"> </v>
      </c>
      <c r="P84" s="4">
        <f t="shared" si="26"/>
        <v>-0.13117292082046661</v>
      </c>
      <c r="Q84" s="4">
        <f t="shared" si="27"/>
        <v>-0.30465968706689017</v>
      </c>
      <c r="R84" s="4">
        <f t="shared" si="28"/>
        <v>-0.31418030228773053</v>
      </c>
      <c r="S84" s="4">
        <f t="shared" si="29"/>
        <v>-0.32475876364421974</v>
      </c>
      <c r="T84" s="4">
        <f t="shared" si="30"/>
        <v>-0.3342793788650601</v>
      </c>
      <c r="U84" s="4">
        <f t="shared" si="31"/>
        <v>-0.3437999940859004</v>
      </c>
      <c r="V84" s="4">
        <f t="shared" si="32"/>
        <v>-0.35543630157803852</v>
      </c>
      <c r="AB84" s="4">
        <f>AG77</f>
        <v>-120.11139854212092</v>
      </c>
      <c r="AC84" s="4" t="str">
        <f t="shared" si="44"/>
        <v xml:space="preserve"> </v>
      </c>
      <c r="AD84" s="4" t="str">
        <f t="shared" si="33"/>
        <v xml:space="preserve"> </v>
      </c>
      <c r="AE84" s="4" t="str">
        <f t="shared" si="34"/>
        <v xml:space="preserve"> </v>
      </c>
      <c r="AF84" s="4" t="str">
        <f t="shared" si="35"/>
        <v xml:space="preserve"> </v>
      </c>
      <c r="AG84" s="4">
        <f t="shared" si="36"/>
        <v>-1.4893813419222994</v>
      </c>
      <c r="AH84" s="4">
        <f t="shared" si="37"/>
        <v>-3.4592082780130826</v>
      </c>
      <c r="AI84" s="4">
        <f t="shared" si="38"/>
        <v>-3.5673085367009914</v>
      </c>
      <c r="AJ84" s="4">
        <f t="shared" si="39"/>
        <v>-3.6874199352431125</v>
      </c>
      <c r="AK84" s="4">
        <f t="shared" si="40"/>
        <v>-3.7955201939310217</v>
      </c>
      <c r="AL84" s="4">
        <f t="shared" si="41"/>
        <v>-3.90362045261893</v>
      </c>
      <c r="AM84" s="4">
        <f t="shared" si="42"/>
        <v>-4.0357429910152627</v>
      </c>
    </row>
    <row r="85" spans="11:39" hidden="1">
      <c r="K85" s="4">
        <f>Q77</f>
        <v>-11.487282142464437</v>
      </c>
      <c r="L85" s="4" t="str">
        <f t="shared" si="43"/>
        <v xml:space="preserve"> </v>
      </c>
      <c r="M85" s="4" t="str">
        <f t="shared" si="23"/>
        <v xml:space="preserve"> </v>
      </c>
      <c r="N85" s="4" t="str">
        <f t="shared" si="24"/>
        <v xml:space="preserve"> </v>
      </c>
      <c r="O85" s="4" t="str">
        <f t="shared" si="25"/>
        <v xml:space="preserve"> </v>
      </c>
      <c r="P85" s="4" t="str">
        <f t="shared" si="26"/>
        <v xml:space="preserve"> </v>
      </c>
      <c r="Q85" s="4">
        <f t="shared" si="27"/>
        <v>-0.14933466785203767</v>
      </c>
      <c r="R85" s="4">
        <f t="shared" si="28"/>
        <v>-0.3319824539172222</v>
      </c>
      <c r="S85" s="4">
        <f t="shared" si="29"/>
        <v>-0.34232100784544023</v>
      </c>
      <c r="T85" s="4">
        <f t="shared" si="30"/>
        <v>-0.3538082899879047</v>
      </c>
      <c r="U85" s="4">
        <f t="shared" si="31"/>
        <v>-0.36529557213036912</v>
      </c>
      <c r="V85" s="4">
        <f t="shared" si="32"/>
        <v>-0.37563412605858709</v>
      </c>
      <c r="AB85" s="4">
        <f>AH77</f>
        <v>-125.60965318217745</v>
      </c>
      <c r="AC85" s="4" t="str">
        <f t="shared" si="44"/>
        <v xml:space="preserve"> </v>
      </c>
      <c r="AD85" s="4" t="str">
        <f t="shared" si="33"/>
        <v xml:space="preserve"> </v>
      </c>
      <c r="AE85" s="4" t="str">
        <f t="shared" si="34"/>
        <v xml:space="preserve"> </v>
      </c>
      <c r="AF85" s="4" t="str">
        <f t="shared" si="35"/>
        <v xml:space="preserve"> </v>
      </c>
      <c r="AG85" s="4" t="str">
        <f t="shared" si="36"/>
        <v xml:space="preserve"> </v>
      </c>
      <c r="AH85" s="4">
        <f t="shared" si="37"/>
        <v>-1.6329254913683069</v>
      </c>
      <c r="AI85" s="4">
        <f t="shared" si="38"/>
        <v>-3.630118976964928</v>
      </c>
      <c r="AJ85" s="4">
        <f t="shared" si="39"/>
        <v>-3.7431676648288881</v>
      </c>
      <c r="AK85" s="4">
        <f t="shared" si="40"/>
        <v>-3.8687773180110656</v>
      </c>
      <c r="AL85" s="4">
        <f t="shared" si="41"/>
        <v>-3.9943869711932432</v>
      </c>
      <c r="AM85" s="4">
        <f t="shared" si="42"/>
        <v>-4.1074356590572023</v>
      </c>
    </row>
    <row r="86" spans="11:39" hidden="1">
      <c r="K86" s="4">
        <f>R77</f>
        <v>-12.017742493913829</v>
      </c>
      <c r="L86" s="4" t="str">
        <f t="shared" si="43"/>
        <v xml:space="preserve"> </v>
      </c>
      <c r="M86" s="4" t="str">
        <f t="shared" si="23"/>
        <v xml:space="preserve"> </v>
      </c>
      <c r="N86" s="4" t="str">
        <f t="shared" si="24"/>
        <v xml:space="preserve"> </v>
      </c>
      <c r="O86" s="4" t="str">
        <f t="shared" si="25"/>
        <v xml:space="preserve"> </v>
      </c>
      <c r="P86" s="4" t="str">
        <f t="shared" si="26"/>
        <v xml:space="preserve"> </v>
      </c>
      <c r="Q86" s="4" t="str">
        <f t="shared" si="27"/>
        <v xml:space="preserve"> </v>
      </c>
      <c r="R86" s="4">
        <f t="shared" si="28"/>
        <v>-0.14541468417635733</v>
      </c>
      <c r="S86" s="4">
        <f t="shared" si="29"/>
        <v>-0.34971630657289243</v>
      </c>
      <c r="T86" s="4">
        <f t="shared" si="30"/>
        <v>-0.36053227481741484</v>
      </c>
      <c r="U86" s="4">
        <f t="shared" si="31"/>
        <v>-0.37134824306193731</v>
      </c>
      <c r="V86" s="4">
        <f t="shared" si="32"/>
        <v>-0.38216421130645978</v>
      </c>
      <c r="AB86" s="4">
        <f>AI77</f>
        <v>-129.90645885388813</v>
      </c>
      <c r="AC86" s="4" t="str">
        <f t="shared" si="44"/>
        <v xml:space="preserve"> </v>
      </c>
      <c r="AD86" s="4" t="str">
        <f t="shared" si="33"/>
        <v xml:space="preserve"> </v>
      </c>
      <c r="AE86" s="4" t="str">
        <f t="shared" si="34"/>
        <v xml:space="preserve"> </v>
      </c>
      <c r="AF86" s="4" t="str">
        <f t="shared" si="35"/>
        <v xml:space="preserve"> </v>
      </c>
      <c r="AG86" s="4" t="str">
        <f t="shared" si="36"/>
        <v xml:space="preserve"> </v>
      </c>
      <c r="AH86" s="4" t="str">
        <f t="shared" si="37"/>
        <v xml:space="preserve"> </v>
      </c>
      <c r="AI86" s="4">
        <f t="shared" si="38"/>
        <v>-1.5718681521320463</v>
      </c>
      <c r="AJ86" s="4">
        <f t="shared" si="39"/>
        <v>-3.7802779526481447</v>
      </c>
      <c r="AK86" s="4">
        <f t="shared" si="40"/>
        <v>-3.8971937656166435</v>
      </c>
      <c r="AL86" s="4">
        <f t="shared" si="41"/>
        <v>-4.0141095785851428</v>
      </c>
      <c r="AM86" s="4">
        <f t="shared" si="42"/>
        <v>-4.131025391553643</v>
      </c>
    </row>
    <row r="87" spans="11:39" hidden="1">
      <c r="K87" s="4">
        <f>S77</f>
        <v>-12.421315451514602</v>
      </c>
      <c r="L87" s="4" t="str">
        <f t="shared" si="43"/>
        <v xml:space="preserve"> </v>
      </c>
      <c r="M87" s="4" t="str">
        <f t="shared" si="23"/>
        <v xml:space="preserve"> </v>
      </c>
      <c r="N87" s="4" t="str">
        <f t="shared" si="24"/>
        <v xml:space="preserve"> </v>
      </c>
      <c r="O87" s="4" t="str">
        <f t="shared" si="25"/>
        <v xml:space="preserve"> </v>
      </c>
      <c r="P87" s="4" t="str">
        <f t="shared" si="26"/>
        <v xml:space="preserve"> </v>
      </c>
      <c r="Q87" s="4" t="str">
        <f t="shared" si="27"/>
        <v xml:space="preserve"> </v>
      </c>
      <c r="R87" s="4" t="str">
        <f t="shared" si="28"/>
        <v xml:space="preserve"> </v>
      </c>
      <c r="S87" s="4">
        <f t="shared" si="29"/>
        <v>-0.16396136395999275</v>
      </c>
      <c r="T87" s="4">
        <f t="shared" si="30"/>
        <v>-0.36270241118422636</v>
      </c>
      <c r="U87" s="4">
        <f t="shared" si="31"/>
        <v>-0.37388159509058949</v>
      </c>
      <c r="V87" s="4">
        <f t="shared" si="32"/>
        <v>-0.38506077899695262</v>
      </c>
      <c r="AB87" s="4">
        <f>AJ77</f>
        <v>-134.26519365916886</v>
      </c>
      <c r="AC87" s="4" t="str">
        <f t="shared" si="44"/>
        <v xml:space="preserve"> </v>
      </c>
      <c r="AD87" s="4" t="str">
        <f t="shared" si="33"/>
        <v xml:space="preserve"> </v>
      </c>
      <c r="AE87" s="4" t="str">
        <f t="shared" si="34"/>
        <v xml:space="preserve"> </v>
      </c>
      <c r="AF87" s="4" t="str">
        <f t="shared" si="35"/>
        <v xml:space="preserve"> </v>
      </c>
      <c r="AG87" s="4" t="str">
        <f t="shared" si="36"/>
        <v xml:space="preserve"> </v>
      </c>
      <c r="AH87" s="4" t="str">
        <f t="shared" si="37"/>
        <v xml:space="preserve"> </v>
      </c>
      <c r="AI87" s="4" t="str">
        <f t="shared" si="38"/>
        <v xml:space="preserve"> </v>
      </c>
      <c r="AJ87" s="4">
        <f t="shared" si="39"/>
        <v>-1.772300556301029</v>
      </c>
      <c r="AK87" s="4">
        <f t="shared" si="40"/>
        <v>-3.9205436548477306</v>
      </c>
      <c r="AL87" s="4">
        <f t="shared" si="41"/>
        <v>-4.0413823291409825</v>
      </c>
      <c r="AM87" s="4">
        <f t="shared" si="42"/>
        <v>-4.1622210034342348</v>
      </c>
    </row>
    <row r="88" spans="11:39" hidden="1">
      <c r="K88" s="4">
        <f>T77</f>
        <v>-12.856359437684887</v>
      </c>
      <c r="L88" s="4" t="str">
        <f t="shared" si="43"/>
        <v xml:space="preserve"> </v>
      </c>
      <c r="M88" s="4" t="str">
        <f t="shared" si="23"/>
        <v xml:space="preserve"> </v>
      </c>
      <c r="N88" s="4" t="str">
        <f t="shared" si="24"/>
        <v xml:space="preserve"> </v>
      </c>
      <c r="O88" s="4" t="str">
        <f t="shared" si="25"/>
        <v xml:space="preserve"> </v>
      </c>
      <c r="P88" s="4" t="str">
        <f t="shared" si="26"/>
        <v xml:space="preserve"> </v>
      </c>
      <c r="Q88" s="4" t="str">
        <f t="shared" si="27"/>
        <v xml:space="preserve"> </v>
      </c>
      <c r="R88" s="4" t="str">
        <f t="shared" si="28"/>
        <v xml:space="preserve"> </v>
      </c>
      <c r="S88" s="4"/>
      <c r="T88" s="4">
        <f t="shared" si="30"/>
        <v>-0.16584703674613505</v>
      </c>
      <c r="U88" s="4">
        <f t="shared" si="31"/>
        <v>-0.37669133152416717</v>
      </c>
      <c r="V88" s="4">
        <f t="shared" si="32"/>
        <v>-0.38826205501808359</v>
      </c>
      <c r="AB88" s="4">
        <f>AK77</f>
        <v>-137.60989864864086</v>
      </c>
      <c r="AC88" s="4" t="str">
        <f t="shared" si="44"/>
        <v xml:space="preserve"> </v>
      </c>
      <c r="AD88" s="4" t="str">
        <f t="shared" si="33"/>
        <v xml:space="preserve"> </v>
      </c>
      <c r="AE88" s="4" t="str">
        <f t="shared" si="34"/>
        <v xml:space="preserve"> </v>
      </c>
      <c r="AF88" s="4" t="str">
        <f t="shared" si="35"/>
        <v xml:space="preserve"> </v>
      </c>
      <c r="AG88" s="4" t="str">
        <f t="shared" si="36"/>
        <v xml:space="preserve"> </v>
      </c>
      <c r="AH88" s="4" t="str">
        <f t="shared" si="37"/>
        <v xml:space="preserve"> </v>
      </c>
      <c r="AI88" s="4" t="str">
        <f t="shared" si="38"/>
        <v xml:space="preserve"> </v>
      </c>
      <c r="AJ88" s="4"/>
      <c r="AK88" s="4">
        <f t="shared" si="40"/>
        <v>-1.7751676925674671</v>
      </c>
      <c r="AL88" s="4">
        <f t="shared" si="41"/>
        <v>-4.0319700304051773</v>
      </c>
      <c r="AM88" s="4">
        <f t="shared" si="42"/>
        <v>-4.1558189391889542</v>
      </c>
    </row>
    <row r="89" spans="11:39" hidden="1">
      <c r="K89" s="4">
        <f>U77</f>
        <v>-13.160291934545171</v>
      </c>
      <c r="L89" s="4" t="str">
        <f t="shared" si="43"/>
        <v xml:space="preserve"> </v>
      </c>
      <c r="M89" s="4" t="str">
        <f t="shared" si="23"/>
        <v xml:space="preserve"> </v>
      </c>
      <c r="N89" s="4" t="str">
        <f t="shared" si="24"/>
        <v xml:space="preserve"> </v>
      </c>
      <c r="O89" s="4" t="str">
        <f t="shared" si="25"/>
        <v xml:space="preserve"> </v>
      </c>
      <c r="P89" s="4" t="str">
        <f t="shared" si="26"/>
        <v xml:space="preserve"> </v>
      </c>
      <c r="Q89" s="4" t="str">
        <f t="shared" si="27"/>
        <v xml:space="preserve"> </v>
      </c>
      <c r="R89" s="4" t="str">
        <f t="shared" si="28"/>
        <v xml:space="preserve"> </v>
      </c>
      <c r="S89" s="4" t="str">
        <f>IF(+S104&gt;0,+$K89*S104," ")</f>
        <v xml:space="preserve"> </v>
      </c>
      <c r="T89" s="4"/>
      <c r="U89" s="4">
        <f t="shared" si="31"/>
        <v>-0.16581967837526915</v>
      </c>
      <c r="V89" s="4">
        <f t="shared" si="32"/>
        <v>-0.38559655368217349</v>
      </c>
      <c r="AB89" s="4">
        <f>AL77</f>
        <v>-140.91426892018694</v>
      </c>
      <c r="AC89" s="4" t="str">
        <f t="shared" si="44"/>
        <v xml:space="preserve"> </v>
      </c>
      <c r="AD89" s="4" t="str">
        <f t="shared" si="33"/>
        <v xml:space="preserve"> </v>
      </c>
      <c r="AE89" s="4" t="str">
        <f t="shared" si="34"/>
        <v xml:space="preserve"> </v>
      </c>
      <c r="AF89" s="4" t="str">
        <f t="shared" si="35"/>
        <v xml:space="preserve"> </v>
      </c>
      <c r="AG89" s="4" t="str">
        <f t="shared" si="36"/>
        <v xml:space="preserve"> </v>
      </c>
      <c r="AH89" s="4" t="str">
        <f t="shared" si="37"/>
        <v xml:space="preserve"> </v>
      </c>
      <c r="AI89" s="4" t="str">
        <f t="shared" si="38"/>
        <v xml:space="preserve"> </v>
      </c>
      <c r="AJ89" s="4" t="str">
        <f>IF(+AJ104&gt;0,+$K89*AJ104," ")</f>
        <v xml:space="preserve"> </v>
      </c>
      <c r="AK89" s="4"/>
      <c r="AL89" s="4">
        <f t="shared" si="41"/>
        <v>-1.7755197883943554</v>
      </c>
      <c r="AM89" s="4">
        <f t="shared" si="42"/>
        <v>-4.1287880793614775</v>
      </c>
    </row>
    <row r="90" spans="11:39" hidden="1">
      <c r="K90" s="4">
        <f>V77</f>
        <v>-13.473681821107903</v>
      </c>
      <c r="L90" s="4" t="str">
        <f t="shared" si="43"/>
        <v xml:space="preserve"> </v>
      </c>
      <c r="M90" s="4" t="str">
        <f t="shared" si="23"/>
        <v xml:space="preserve"> </v>
      </c>
      <c r="N90" s="4" t="str">
        <f t="shared" si="24"/>
        <v xml:space="preserve"> </v>
      </c>
      <c r="O90" s="4" t="str">
        <f t="shared" si="25"/>
        <v xml:space="preserve"> </v>
      </c>
      <c r="P90" s="4" t="str">
        <f t="shared" si="26"/>
        <v xml:space="preserve"> </v>
      </c>
      <c r="Q90" s="4" t="str">
        <f t="shared" si="27"/>
        <v xml:space="preserve"> </v>
      </c>
      <c r="R90" s="4" t="str">
        <f t="shared" si="28"/>
        <v xml:space="preserve"> </v>
      </c>
      <c r="S90" s="4" t="str">
        <f>IF(+S105&gt;0,+$K90*S105," ")</f>
        <v xml:space="preserve"> </v>
      </c>
      <c r="T90" s="4" t="str">
        <f>IF(+T105&gt;0,+$K90*T105," ")</f>
        <v xml:space="preserve"> </v>
      </c>
      <c r="U90" s="4" t="str">
        <f t="shared" si="31"/>
        <v xml:space="preserve"> </v>
      </c>
      <c r="V90" s="4">
        <f t="shared" si="32"/>
        <v>-0.17381049549229194</v>
      </c>
      <c r="AB90" s="4">
        <f>AM77</f>
        <v>-144.36449281822968</v>
      </c>
      <c r="AC90" s="4" t="str">
        <f t="shared" si="44"/>
        <v xml:space="preserve"> </v>
      </c>
      <c r="AD90" s="4" t="str">
        <f t="shared" si="33"/>
        <v xml:space="preserve"> </v>
      </c>
      <c r="AE90" s="4" t="str">
        <f t="shared" si="34"/>
        <v xml:space="preserve"> </v>
      </c>
      <c r="AF90" s="4" t="str">
        <f t="shared" si="35"/>
        <v xml:space="preserve"> </v>
      </c>
      <c r="AG90" s="4" t="str">
        <f t="shared" si="36"/>
        <v xml:space="preserve"> </v>
      </c>
      <c r="AH90" s="4" t="str">
        <f t="shared" si="37"/>
        <v xml:space="preserve"> </v>
      </c>
      <c r="AI90" s="4" t="str">
        <f t="shared" si="38"/>
        <v xml:space="preserve"> </v>
      </c>
      <c r="AJ90" s="4" t="str">
        <f>IF(+AJ105&gt;0,+$K90*AJ105," ")</f>
        <v xml:space="preserve"> </v>
      </c>
      <c r="AK90" s="4" t="str">
        <f>IF(+AK105&gt;0,+$K90*AK105," ")</f>
        <v xml:space="preserve"> </v>
      </c>
      <c r="AL90" s="4" t="str">
        <f t="shared" si="41"/>
        <v xml:space="preserve"> </v>
      </c>
      <c r="AM90" s="4">
        <f t="shared" si="42"/>
        <v>-1.8623019573551629</v>
      </c>
    </row>
    <row r="91" spans="11:39" hidden="1">
      <c r="K91" s="4" t="s">
        <v>10</v>
      </c>
      <c r="L91" s="4">
        <f t="shared" ref="L91:V91" si="45">ROUND(SUM(L80:L90),3)</f>
        <v>0</v>
      </c>
      <c r="M91" s="4">
        <f t="shared" si="45"/>
        <v>1.4E-2</v>
      </c>
      <c r="N91" s="4">
        <f t="shared" si="45"/>
        <v>-2.9000000000000001E-2</v>
      </c>
      <c r="O91" s="4">
        <f t="shared" si="45"/>
        <v>-0.24099999999999999</v>
      </c>
      <c r="P91" s="4">
        <f>ROUND(SUM(P80:P90),3)</f>
        <v>-0.52</v>
      </c>
      <c r="Q91" s="4">
        <f t="shared" si="45"/>
        <v>-0.85499999999999998</v>
      </c>
      <c r="R91" s="4">
        <f t="shared" si="45"/>
        <v>-1.204</v>
      </c>
      <c r="S91" s="4">
        <f t="shared" si="45"/>
        <v>-1.6060000000000001</v>
      </c>
      <c r="T91" s="4">
        <f t="shared" si="45"/>
        <v>-2.016</v>
      </c>
      <c r="U91" s="4">
        <f t="shared" si="45"/>
        <v>-2.4489999999999998</v>
      </c>
      <c r="V91" s="4">
        <f t="shared" si="45"/>
        <v>-2.9119999999999999</v>
      </c>
      <c r="AB91" s="4" t="s">
        <v>10</v>
      </c>
      <c r="AC91" s="4">
        <f t="shared" ref="AC91:AM91" si="46">ROUND(SUM(AC80:AC90),3)</f>
        <v>0</v>
      </c>
      <c r="AD91" s="4">
        <f t="shared" si="46"/>
        <v>-0.67100000000000004</v>
      </c>
      <c r="AE91" s="4">
        <f t="shared" si="46"/>
        <v>-3.2480000000000002</v>
      </c>
      <c r="AF91" s="4">
        <f t="shared" si="46"/>
        <v>-6.2569999999999997</v>
      </c>
      <c r="AG91" s="4">
        <f t="shared" si="46"/>
        <v>-9.5519999999999996</v>
      </c>
      <c r="AH91" s="4">
        <f t="shared" si="46"/>
        <v>-13.382999999999999</v>
      </c>
      <c r="AI91" s="4">
        <f t="shared" si="46"/>
        <v>-17.260000000000002</v>
      </c>
      <c r="AJ91" s="4">
        <f t="shared" si="46"/>
        <v>-21.734000000000002</v>
      </c>
      <c r="AK91" s="4">
        <f t="shared" si="46"/>
        <v>-26.245999999999999</v>
      </c>
      <c r="AL91" s="4">
        <f t="shared" si="46"/>
        <v>-30.98</v>
      </c>
      <c r="AM91" s="4">
        <f t="shared" si="46"/>
        <v>-36.091000000000001</v>
      </c>
    </row>
    <row r="92" spans="11:39" hidden="1">
      <c r="K92" s="4"/>
      <c r="L92" s="4"/>
      <c r="M92" s="4"/>
      <c r="N92" s="4"/>
      <c r="O92" s="4"/>
      <c r="P92" s="4"/>
      <c r="Q92" s="4"/>
      <c r="R92" s="4"/>
      <c r="S92" s="4"/>
      <c r="T92" s="4"/>
      <c r="U92" s="4"/>
      <c r="V92" s="4"/>
      <c r="AB92" s="4"/>
      <c r="AC92" s="4"/>
      <c r="AD92" s="4"/>
      <c r="AE92" s="4"/>
      <c r="AF92" s="4"/>
      <c r="AG92" s="4"/>
      <c r="AH92" s="4"/>
      <c r="AI92" s="4"/>
      <c r="AJ92" s="4"/>
      <c r="AK92" s="4"/>
      <c r="AL92" s="4"/>
      <c r="AM92" s="4"/>
    </row>
    <row r="93" spans="11:39" hidden="1">
      <c r="K93" s="4" t="s">
        <v>18</v>
      </c>
      <c r="L93" s="4">
        <v>0</v>
      </c>
      <c r="M93" s="4">
        <f t="shared" ref="M93:V93" si="47">L93+1</f>
        <v>1</v>
      </c>
      <c r="N93" s="4">
        <f t="shared" si="47"/>
        <v>2</v>
      </c>
      <c r="O93" s="4">
        <f t="shared" si="47"/>
        <v>3</v>
      </c>
      <c r="P93" s="4">
        <f t="shared" si="47"/>
        <v>4</v>
      </c>
      <c r="Q93" s="4">
        <f t="shared" si="47"/>
        <v>5</v>
      </c>
      <c r="R93" s="4">
        <f t="shared" si="47"/>
        <v>6</v>
      </c>
      <c r="S93" s="4">
        <f t="shared" si="47"/>
        <v>7</v>
      </c>
      <c r="T93" s="4">
        <f t="shared" si="47"/>
        <v>8</v>
      </c>
      <c r="U93" s="4">
        <f t="shared" si="47"/>
        <v>9</v>
      </c>
      <c r="V93" s="4">
        <f t="shared" si="47"/>
        <v>10</v>
      </c>
      <c r="AB93" s="4" t="s">
        <v>18</v>
      </c>
      <c r="AC93" s="4">
        <v>0</v>
      </c>
      <c r="AD93" s="4">
        <f t="shared" ref="AD93" si="48">AC93+1</f>
        <v>1</v>
      </c>
      <c r="AE93" s="4">
        <f t="shared" ref="AE93" si="49">AD93+1</f>
        <v>2</v>
      </c>
      <c r="AF93" s="4">
        <f t="shared" ref="AF93" si="50">AE93+1</f>
        <v>3</v>
      </c>
      <c r="AG93" s="4">
        <f t="shared" ref="AG93" si="51">AF93+1</f>
        <v>4</v>
      </c>
      <c r="AH93" s="4">
        <f t="shared" ref="AH93" si="52">AG93+1</f>
        <v>5</v>
      </c>
      <c r="AI93" s="4">
        <f t="shared" ref="AI93" si="53">AH93+1</f>
        <v>6</v>
      </c>
      <c r="AJ93" s="4">
        <f t="shared" ref="AJ93" si="54">AI93+1</f>
        <v>7</v>
      </c>
      <c r="AK93" s="4">
        <f t="shared" ref="AK93" si="55">AJ93+1</f>
        <v>8</v>
      </c>
      <c r="AL93" s="4">
        <f t="shared" ref="AL93" si="56">AK93+1</f>
        <v>9</v>
      </c>
      <c r="AM93" s="4">
        <f t="shared" ref="AM93" si="57">AL93+1</f>
        <v>10</v>
      </c>
    </row>
    <row r="94" spans="11:39" hidden="1">
      <c r="K94" s="4" t="s">
        <v>19</v>
      </c>
      <c r="L94" s="4"/>
      <c r="M94" s="4"/>
      <c r="N94" s="4"/>
      <c r="O94" s="4"/>
      <c r="P94" s="4"/>
      <c r="Q94" s="4"/>
      <c r="R94" s="4"/>
      <c r="S94" s="4"/>
      <c r="T94" s="4"/>
      <c r="U94" s="4"/>
      <c r="V94" s="4"/>
      <c r="AB94" s="4" t="s">
        <v>19</v>
      </c>
      <c r="AC94" s="4"/>
      <c r="AD94" s="4"/>
      <c r="AE94" s="4"/>
      <c r="AF94" s="4"/>
      <c r="AG94" s="4"/>
      <c r="AH94" s="4"/>
      <c r="AI94" s="4"/>
      <c r="AJ94" s="4"/>
      <c r="AK94" s="4"/>
      <c r="AL94" s="4"/>
      <c r="AM94" s="4"/>
    </row>
    <row r="95" spans="11:39" hidden="1">
      <c r="K95" s="4">
        <f>L93</f>
        <v>0</v>
      </c>
      <c r="L95" s="4">
        <v>9.1000000000000004E-3</v>
      </c>
      <c r="M95" s="4">
        <v>3.9100000000000003E-2</v>
      </c>
      <c r="N95" s="4">
        <v>3.3500000000000002E-2</v>
      </c>
      <c r="O95" s="4">
        <v>3.1699999999999999E-2</v>
      </c>
      <c r="P95" s="4">
        <v>3.1800000000000002E-2</v>
      </c>
      <c r="Q95" s="4">
        <v>3.2399999999999998E-2</v>
      </c>
      <c r="R95" s="4">
        <v>3.3000000000000002E-2</v>
      </c>
      <c r="S95" s="4">
        <v>3.3700000000000001E-2</v>
      </c>
      <c r="T95" s="4">
        <v>3.44E-2</v>
      </c>
      <c r="U95" s="4">
        <v>3.5499999999999997E-2</v>
      </c>
      <c r="V95" s="4">
        <v>3.6200000000000003E-2</v>
      </c>
      <c r="AB95" s="4">
        <f>AC93</f>
        <v>0</v>
      </c>
      <c r="AC95" s="4">
        <v>9.1000000000000004E-3</v>
      </c>
      <c r="AD95" s="4">
        <v>3.9100000000000003E-2</v>
      </c>
      <c r="AE95" s="4">
        <v>3.3500000000000002E-2</v>
      </c>
      <c r="AF95" s="4">
        <v>3.1699999999999999E-2</v>
      </c>
      <c r="AG95" s="4">
        <v>3.1800000000000002E-2</v>
      </c>
      <c r="AH95" s="4">
        <v>3.2399999999999998E-2</v>
      </c>
      <c r="AI95" s="4">
        <v>3.3000000000000002E-2</v>
      </c>
      <c r="AJ95" s="4">
        <v>3.3700000000000001E-2</v>
      </c>
      <c r="AK95" s="4">
        <v>3.44E-2</v>
      </c>
      <c r="AL95" s="4">
        <v>3.5499999999999997E-2</v>
      </c>
      <c r="AM95" s="4">
        <v>3.6200000000000003E-2</v>
      </c>
    </row>
    <row r="96" spans="11:39" hidden="1">
      <c r="K96" s="4">
        <f t="shared" ref="K96:K105" si="58">K95+1</f>
        <v>1</v>
      </c>
      <c r="L96" s="4">
        <v>0</v>
      </c>
      <c r="M96" s="4">
        <v>1.1299999999999999E-2</v>
      </c>
      <c r="N96" s="4">
        <v>3.4200000000000001E-2</v>
      </c>
      <c r="O96" s="4">
        <v>3.3399999999999999E-2</v>
      </c>
      <c r="P96" s="4">
        <v>3.3300000000000003E-2</v>
      </c>
      <c r="Q96" s="4">
        <v>3.4000000000000002E-2</v>
      </c>
      <c r="R96" s="4">
        <v>3.4599999999999999E-2</v>
      </c>
      <c r="S96" s="4">
        <v>3.5499999999999997E-2</v>
      </c>
      <c r="T96" s="4">
        <v>3.6200000000000003E-2</v>
      </c>
      <c r="U96" s="4">
        <v>3.6799999999999999E-2</v>
      </c>
      <c r="V96" s="4">
        <v>3.7999999999999999E-2</v>
      </c>
      <c r="AB96" s="4">
        <f t="shared" ref="AB96:AB105" si="59">AB95+1</f>
        <v>1</v>
      </c>
      <c r="AC96" s="4">
        <v>0</v>
      </c>
      <c r="AD96" s="4">
        <v>1.1299999999999999E-2</v>
      </c>
      <c r="AE96" s="4">
        <v>3.4200000000000001E-2</v>
      </c>
      <c r="AF96" s="4">
        <v>3.3399999999999999E-2</v>
      </c>
      <c r="AG96" s="4">
        <v>3.3300000000000003E-2</v>
      </c>
      <c r="AH96" s="4">
        <v>3.4000000000000002E-2</v>
      </c>
      <c r="AI96" s="4">
        <v>3.4599999999999999E-2</v>
      </c>
      <c r="AJ96" s="4">
        <v>3.5499999999999997E-2</v>
      </c>
      <c r="AK96" s="4">
        <v>3.6200000000000003E-2</v>
      </c>
      <c r="AL96" s="4">
        <v>3.6799999999999999E-2</v>
      </c>
      <c r="AM96" s="4">
        <v>3.7999999999999999E-2</v>
      </c>
    </row>
    <row r="97" spans="9:39" hidden="1">
      <c r="K97" s="4">
        <f t="shared" si="58"/>
        <v>2</v>
      </c>
      <c r="L97" s="4">
        <v>0</v>
      </c>
      <c r="M97" s="4">
        <v>0</v>
      </c>
      <c r="N97" s="4">
        <v>1.2800000000000001E-2</v>
      </c>
      <c r="O97" s="4">
        <v>2.9899999999999999E-2</v>
      </c>
      <c r="P97" s="4">
        <v>3.04E-2</v>
      </c>
      <c r="Q97" s="4">
        <v>3.1199999999999999E-2</v>
      </c>
      <c r="R97" s="4">
        <v>3.2000000000000001E-2</v>
      </c>
      <c r="S97" s="4">
        <v>3.3000000000000002E-2</v>
      </c>
      <c r="T97" s="4">
        <v>3.39E-2</v>
      </c>
      <c r="U97" s="4">
        <v>3.49E-2</v>
      </c>
      <c r="V97" s="4">
        <v>3.5900000000000001E-2</v>
      </c>
      <c r="AB97" s="4">
        <f t="shared" si="59"/>
        <v>2</v>
      </c>
      <c r="AC97" s="4">
        <v>0</v>
      </c>
      <c r="AD97" s="4">
        <v>0</v>
      </c>
      <c r="AE97" s="4">
        <v>1.2800000000000001E-2</v>
      </c>
      <c r="AF97" s="4">
        <v>2.9899999999999999E-2</v>
      </c>
      <c r="AG97" s="4">
        <v>3.04E-2</v>
      </c>
      <c r="AH97" s="4">
        <v>3.1199999999999999E-2</v>
      </c>
      <c r="AI97" s="4">
        <v>3.2000000000000001E-2</v>
      </c>
      <c r="AJ97" s="4">
        <v>3.3000000000000002E-2</v>
      </c>
      <c r="AK97" s="4">
        <v>3.39E-2</v>
      </c>
      <c r="AL97" s="4">
        <v>3.49E-2</v>
      </c>
      <c r="AM97" s="4">
        <v>3.5900000000000001E-2</v>
      </c>
    </row>
    <row r="98" spans="9:39" hidden="1">
      <c r="K98" s="4">
        <f t="shared" si="58"/>
        <v>3</v>
      </c>
      <c r="L98" s="4">
        <v>0</v>
      </c>
      <c r="M98" s="4">
        <v>0</v>
      </c>
      <c r="N98" s="4">
        <v>0</v>
      </c>
      <c r="O98" s="4">
        <v>1.29E-2</v>
      </c>
      <c r="P98" s="4">
        <v>2.8799999999999999E-2</v>
      </c>
      <c r="Q98" s="4">
        <v>2.98E-2</v>
      </c>
      <c r="R98" s="4">
        <v>3.0599999999999999E-2</v>
      </c>
      <c r="S98" s="4">
        <v>3.1600000000000003E-2</v>
      </c>
      <c r="T98" s="4">
        <v>3.2599999999999997E-2</v>
      </c>
      <c r="U98" s="4">
        <v>3.3500000000000002E-2</v>
      </c>
      <c r="V98" s="4">
        <v>3.4599999999999999E-2</v>
      </c>
      <c r="AB98" s="4">
        <f t="shared" si="59"/>
        <v>3</v>
      </c>
      <c r="AC98" s="4">
        <v>0</v>
      </c>
      <c r="AD98" s="4">
        <v>0</v>
      </c>
      <c r="AE98" s="4">
        <v>0</v>
      </c>
      <c r="AF98" s="4">
        <v>1.29E-2</v>
      </c>
      <c r="AG98" s="4">
        <v>2.8799999999999999E-2</v>
      </c>
      <c r="AH98" s="4">
        <v>2.98E-2</v>
      </c>
      <c r="AI98" s="4">
        <v>3.0599999999999999E-2</v>
      </c>
      <c r="AJ98" s="4">
        <v>3.1600000000000003E-2</v>
      </c>
      <c r="AK98" s="4">
        <v>3.2599999999999997E-2</v>
      </c>
      <c r="AL98" s="4">
        <v>3.3500000000000002E-2</v>
      </c>
      <c r="AM98" s="4">
        <v>3.4599999999999999E-2</v>
      </c>
    </row>
    <row r="99" spans="9:39" hidden="1">
      <c r="K99" s="4">
        <f t="shared" si="58"/>
        <v>4</v>
      </c>
      <c r="L99" s="4">
        <v>0</v>
      </c>
      <c r="M99" s="4">
        <v>0</v>
      </c>
      <c r="N99" s="4">
        <v>0</v>
      </c>
      <c r="O99" s="4">
        <v>0</v>
      </c>
      <c r="P99" s="4">
        <v>1.24E-2</v>
      </c>
      <c r="Q99" s="4">
        <v>2.8799999999999999E-2</v>
      </c>
      <c r="R99" s="4">
        <v>2.9700000000000001E-2</v>
      </c>
      <c r="S99" s="4">
        <v>3.0700000000000002E-2</v>
      </c>
      <c r="T99" s="4">
        <v>3.1600000000000003E-2</v>
      </c>
      <c r="U99" s="4">
        <v>3.2500000000000001E-2</v>
      </c>
      <c r="V99" s="4">
        <v>3.3599999999999998E-2</v>
      </c>
      <c r="AB99" s="4">
        <f t="shared" si="59"/>
        <v>4</v>
      </c>
      <c r="AC99" s="4">
        <v>0</v>
      </c>
      <c r="AD99" s="4">
        <v>0</v>
      </c>
      <c r="AE99" s="4">
        <v>0</v>
      </c>
      <c r="AF99" s="4">
        <v>0</v>
      </c>
      <c r="AG99" s="4">
        <v>1.24E-2</v>
      </c>
      <c r="AH99" s="4">
        <v>2.8799999999999999E-2</v>
      </c>
      <c r="AI99" s="4">
        <v>2.9700000000000001E-2</v>
      </c>
      <c r="AJ99" s="4">
        <v>3.0700000000000002E-2</v>
      </c>
      <c r="AK99" s="4">
        <v>3.1600000000000003E-2</v>
      </c>
      <c r="AL99" s="4">
        <v>3.2500000000000001E-2</v>
      </c>
      <c r="AM99" s="4">
        <v>3.3599999999999998E-2</v>
      </c>
    </row>
    <row r="100" spans="9:39" hidden="1">
      <c r="K100" s="4">
        <f t="shared" si="58"/>
        <v>5</v>
      </c>
      <c r="L100" s="4">
        <v>0</v>
      </c>
      <c r="M100" s="4">
        <v>0</v>
      </c>
      <c r="N100" s="4">
        <v>0</v>
      </c>
      <c r="O100" s="4">
        <v>0</v>
      </c>
      <c r="P100" s="4">
        <v>0</v>
      </c>
      <c r="Q100" s="4">
        <v>1.2999999999999999E-2</v>
      </c>
      <c r="R100" s="4">
        <v>2.8899999999999999E-2</v>
      </c>
      <c r="S100" s="4">
        <v>2.98E-2</v>
      </c>
      <c r="T100" s="4">
        <v>3.0800000000000001E-2</v>
      </c>
      <c r="U100" s="4">
        <v>3.1800000000000002E-2</v>
      </c>
      <c r="V100" s="4">
        <v>3.27E-2</v>
      </c>
      <c r="AB100" s="4">
        <f t="shared" si="59"/>
        <v>5</v>
      </c>
      <c r="AC100" s="4">
        <v>0</v>
      </c>
      <c r="AD100" s="4">
        <v>0</v>
      </c>
      <c r="AE100" s="4">
        <v>0</v>
      </c>
      <c r="AF100" s="4">
        <v>0</v>
      </c>
      <c r="AG100" s="4">
        <v>0</v>
      </c>
      <c r="AH100" s="4">
        <v>1.2999999999999999E-2</v>
      </c>
      <c r="AI100" s="4">
        <v>2.8899999999999999E-2</v>
      </c>
      <c r="AJ100" s="4">
        <v>2.98E-2</v>
      </c>
      <c r="AK100" s="4">
        <v>3.0800000000000001E-2</v>
      </c>
      <c r="AL100" s="4">
        <v>3.1800000000000002E-2</v>
      </c>
      <c r="AM100" s="4">
        <v>3.27E-2</v>
      </c>
    </row>
    <row r="101" spans="9:39" hidden="1">
      <c r="K101" s="4">
        <f t="shared" si="58"/>
        <v>6</v>
      </c>
      <c r="L101" s="4">
        <v>0</v>
      </c>
      <c r="M101" s="4">
        <v>0</v>
      </c>
      <c r="N101" s="4">
        <v>0</v>
      </c>
      <c r="O101" s="4">
        <v>0</v>
      </c>
      <c r="P101" s="4">
        <v>0</v>
      </c>
      <c r="Q101" s="4">
        <v>0</v>
      </c>
      <c r="R101" s="4">
        <v>1.21E-2</v>
      </c>
      <c r="S101" s="4">
        <v>2.9100000000000001E-2</v>
      </c>
      <c r="T101" s="4">
        <v>0.03</v>
      </c>
      <c r="U101" s="4">
        <v>3.09E-2</v>
      </c>
      <c r="V101" s="4">
        <v>3.1800000000000002E-2</v>
      </c>
      <c r="AB101" s="4">
        <f t="shared" si="59"/>
        <v>6</v>
      </c>
      <c r="AC101" s="4">
        <v>0</v>
      </c>
      <c r="AD101" s="4">
        <v>0</v>
      </c>
      <c r="AE101" s="4">
        <v>0</v>
      </c>
      <c r="AF101" s="4">
        <v>0</v>
      </c>
      <c r="AG101" s="4">
        <v>0</v>
      </c>
      <c r="AH101" s="4">
        <v>0</v>
      </c>
      <c r="AI101" s="4">
        <v>1.21E-2</v>
      </c>
      <c r="AJ101" s="4">
        <v>2.9100000000000001E-2</v>
      </c>
      <c r="AK101" s="4">
        <v>0.03</v>
      </c>
      <c r="AL101" s="4">
        <v>3.09E-2</v>
      </c>
      <c r="AM101" s="4">
        <v>3.1800000000000002E-2</v>
      </c>
    </row>
    <row r="102" spans="9:39" hidden="1">
      <c r="K102" s="4">
        <f t="shared" si="58"/>
        <v>7</v>
      </c>
      <c r="L102" s="4">
        <v>0</v>
      </c>
      <c r="M102" s="4">
        <v>0</v>
      </c>
      <c r="N102" s="4">
        <v>0</v>
      </c>
      <c r="O102" s="4">
        <v>0</v>
      </c>
      <c r="P102" s="4">
        <v>0</v>
      </c>
      <c r="Q102" s="4">
        <v>0</v>
      </c>
      <c r="R102" s="4">
        <v>0</v>
      </c>
      <c r="S102" s="4">
        <v>1.32E-2</v>
      </c>
      <c r="T102" s="4">
        <v>2.92E-2</v>
      </c>
      <c r="U102" s="4">
        <v>3.0099999999999998E-2</v>
      </c>
      <c r="V102" s="4">
        <v>3.1E-2</v>
      </c>
      <c r="AB102" s="4">
        <f t="shared" si="59"/>
        <v>7</v>
      </c>
      <c r="AC102" s="4">
        <v>0</v>
      </c>
      <c r="AD102" s="4">
        <v>0</v>
      </c>
      <c r="AE102" s="4">
        <v>0</v>
      </c>
      <c r="AF102" s="4">
        <v>0</v>
      </c>
      <c r="AG102" s="4">
        <v>0</v>
      </c>
      <c r="AH102" s="4">
        <v>0</v>
      </c>
      <c r="AI102" s="4">
        <v>0</v>
      </c>
      <c r="AJ102" s="4">
        <v>1.32E-2</v>
      </c>
      <c r="AK102" s="4">
        <v>2.92E-2</v>
      </c>
      <c r="AL102" s="4">
        <v>3.0099999999999998E-2</v>
      </c>
      <c r="AM102" s="4">
        <v>3.1E-2</v>
      </c>
    </row>
    <row r="103" spans="9:39" hidden="1">
      <c r="K103" s="4">
        <f t="shared" si="58"/>
        <v>8</v>
      </c>
      <c r="L103" s="4">
        <v>0</v>
      </c>
      <c r="M103" s="4">
        <v>0</v>
      </c>
      <c r="N103" s="4">
        <v>0</v>
      </c>
      <c r="O103" s="4">
        <v>0</v>
      </c>
      <c r="P103" s="4">
        <v>0</v>
      </c>
      <c r="Q103" s="4">
        <v>0</v>
      </c>
      <c r="R103" s="4">
        <v>0</v>
      </c>
      <c r="S103" s="4">
        <v>0</v>
      </c>
      <c r="T103" s="4">
        <v>1.29E-2</v>
      </c>
      <c r="U103" s="4">
        <v>2.93E-2</v>
      </c>
      <c r="V103" s="4">
        <v>3.0200000000000001E-2</v>
      </c>
      <c r="AB103" s="4">
        <f t="shared" si="59"/>
        <v>8</v>
      </c>
      <c r="AC103" s="4">
        <v>0</v>
      </c>
      <c r="AD103" s="4">
        <v>0</v>
      </c>
      <c r="AE103" s="4">
        <v>0</v>
      </c>
      <c r="AF103" s="4">
        <v>0</v>
      </c>
      <c r="AG103" s="4">
        <v>0</v>
      </c>
      <c r="AH103" s="4">
        <v>0</v>
      </c>
      <c r="AI103" s="4">
        <v>0</v>
      </c>
      <c r="AJ103" s="4">
        <v>0</v>
      </c>
      <c r="AK103" s="4">
        <v>1.29E-2</v>
      </c>
      <c r="AL103" s="4">
        <v>2.93E-2</v>
      </c>
      <c r="AM103" s="4">
        <v>3.0200000000000001E-2</v>
      </c>
    </row>
    <row r="104" spans="9:39" hidden="1">
      <c r="K104" s="4">
        <f t="shared" si="58"/>
        <v>9</v>
      </c>
      <c r="L104" s="4">
        <v>0</v>
      </c>
      <c r="M104" s="4">
        <v>0</v>
      </c>
      <c r="N104" s="4">
        <v>0</v>
      </c>
      <c r="O104" s="4">
        <v>0</v>
      </c>
      <c r="P104" s="4">
        <v>0</v>
      </c>
      <c r="Q104" s="4">
        <v>0</v>
      </c>
      <c r="R104" s="4">
        <v>0</v>
      </c>
      <c r="S104" s="4">
        <v>0</v>
      </c>
      <c r="T104" s="4">
        <v>0</v>
      </c>
      <c r="U104" s="4">
        <v>1.26E-2</v>
      </c>
      <c r="V104" s="4">
        <v>2.93E-2</v>
      </c>
      <c r="AB104" s="4">
        <f t="shared" si="59"/>
        <v>9</v>
      </c>
      <c r="AC104" s="4">
        <v>0</v>
      </c>
      <c r="AD104" s="4">
        <v>0</v>
      </c>
      <c r="AE104" s="4">
        <v>0</v>
      </c>
      <c r="AF104" s="4">
        <v>0</v>
      </c>
      <c r="AG104" s="4">
        <v>0</v>
      </c>
      <c r="AH104" s="4">
        <v>0</v>
      </c>
      <c r="AI104" s="4">
        <v>0</v>
      </c>
      <c r="AJ104" s="4">
        <v>0</v>
      </c>
      <c r="AK104" s="4">
        <v>0</v>
      </c>
      <c r="AL104" s="4">
        <v>1.26E-2</v>
      </c>
      <c r="AM104" s="4">
        <v>2.93E-2</v>
      </c>
    </row>
    <row r="105" spans="9:39" hidden="1">
      <c r="K105" s="4">
        <f t="shared" si="58"/>
        <v>10</v>
      </c>
      <c r="L105" s="4">
        <v>0</v>
      </c>
      <c r="M105" s="4">
        <v>0</v>
      </c>
      <c r="N105" s="4">
        <v>0</v>
      </c>
      <c r="O105" s="4">
        <v>0</v>
      </c>
      <c r="P105" s="4">
        <v>0</v>
      </c>
      <c r="Q105" s="4">
        <v>0</v>
      </c>
      <c r="R105" s="4">
        <v>0</v>
      </c>
      <c r="S105" s="4">
        <v>0</v>
      </c>
      <c r="T105" s="4">
        <v>0</v>
      </c>
      <c r="U105" s="4">
        <v>0</v>
      </c>
      <c r="V105" s="4">
        <v>1.29E-2</v>
      </c>
      <c r="AB105" s="4">
        <f t="shared" si="59"/>
        <v>10</v>
      </c>
      <c r="AC105" s="4">
        <v>0</v>
      </c>
      <c r="AD105" s="4">
        <v>0</v>
      </c>
      <c r="AE105" s="4">
        <v>0</v>
      </c>
      <c r="AF105" s="4">
        <v>0</v>
      </c>
      <c r="AG105" s="4">
        <v>0</v>
      </c>
      <c r="AH105" s="4">
        <v>0</v>
      </c>
      <c r="AI105" s="4">
        <v>0</v>
      </c>
      <c r="AJ105" s="4">
        <v>0</v>
      </c>
      <c r="AK105" s="4">
        <v>0</v>
      </c>
      <c r="AL105" s="4">
        <v>0</v>
      </c>
      <c r="AM105" s="4">
        <v>1.29E-2</v>
      </c>
    </row>
    <row r="107" spans="9:39" hidden="1">
      <c r="I107" s="89" t="s">
        <v>64</v>
      </c>
      <c r="J107" s="9" t="s">
        <v>20</v>
      </c>
      <c r="L107" s="4"/>
      <c r="M107" s="4"/>
      <c r="N107" s="4"/>
      <c r="O107" s="4"/>
      <c r="P107" s="4"/>
      <c r="Q107" s="4"/>
      <c r="R107" s="4"/>
      <c r="S107" s="4"/>
      <c r="T107" s="4"/>
      <c r="U107" s="4"/>
      <c r="V107" s="4"/>
      <c r="W107" s="5"/>
      <c r="Z107" s="16" t="s">
        <v>65</v>
      </c>
      <c r="AA107" s="9" t="s">
        <v>20</v>
      </c>
      <c r="AC107" s="4"/>
    </row>
    <row r="108" spans="9:39" hidden="1">
      <c r="K108" t="s">
        <v>18</v>
      </c>
      <c r="L108" s="4">
        <v>2033</v>
      </c>
      <c r="M108" s="10"/>
      <c r="N108" s="10"/>
      <c r="O108" s="10"/>
      <c r="P108" s="10"/>
      <c r="Q108" s="10"/>
      <c r="R108" s="10"/>
      <c r="S108" s="10"/>
      <c r="T108" s="10"/>
      <c r="U108" s="10"/>
      <c r="V108" s="10"/>
      <c r="W108" s="10"/>
      <c r="AB108" t="s">
        <v>18</v>
      </c>
      <c r="AC108" s="4">
        <v>2033</v>
      </c>
    </row>
    <row r="109" spans="9:39" hidden="1">
      <c r="K109" t="s">
        <v>21</v>
      </c>
      <c r="L109" s="4">
        <v>118.21740034570291</v>
      </c>
      <c r="M109" s="10"/>
      <c r="N109" s="10"/>
      <c r="O109" s="10"/>
      <c r="P109" s="10"/>
      <c r="Q109" s="10"/>
      <c r="R109" s="10"/>
      <c r="S109" s="10"/>
      <c r="T109" s="10"/>
      <c r="U109" s="10"/>
      <c r="V109" s="10"/>
      <c r="W109" s="10"/>
      <c r="AB109" t="s">
        <v>21</v>
      </c>
      <c r="AC109" s="4">
        <v>118.21740034570291</v>
      </c>
    </row>
    <row r="110" spans="9:39" hidden="1">
      <c r="K110" t="s">
        <v>22</v>
      </c>
      <c r="L110" s="4">
        <v>39288.07</v>
      </c>
      <c r="M110" s="10"/>
      <c r="N110" s="10"/>
      <c r="O110" s="10"/>
      <c r="P110" s="10"/>
      <c r="Q110" s="10"/>
      <c r="R110" s="10"/>
      <c r="S110" s="10"/>
      <c r="T110" s="10"/>
      <c r="U110" s="10"/>
      <c r="V110" s="10"/>
      <c r="W110" s="10"/>
      <c r="AB110" t="s">
        <v>22</v>
      </c>
      <c r="AC110" s="4">
        <v>39288.07</v>
      </c>
    </row>
    <row r="111" spans="9:39" hidden="1">
      <c r="K111" t="s">
        <v>23</v>
      </c>
      <c r="L111" s="10">
        <f>((W55/L110)*100)</f>
        <v>-0.28301328058076164</v>
      </c>
      <c r="M111" s="10"/>
      <c r="N111" s="10"/>
      <c r="O111" s="10"/>
      <c r="P111" s="10"/>
      <c r="Q111" s="10"/>
      <c r="R111" s="10"/>
      <c r="S111" s="10"/>
      <c r="T111" s="10"/>
      <c r="U111" s="10"/>
      <c r="V111" s="10"/>
      <c r="W111" s="10"/>
      <c r="AB111" t="s">
        <v>23</v>
      </c>
      <c r="AC111" s="10">
        <f>((AN55/AC110)*100)</f>
        <v>-3.4707233281010206</v>
      </c>
    </row>
    <row r="112" spans="9:39" hidden="1">
      <c r="K112" t="s">
        <v>24</v>
      </c>
      <c r="L112" s="11">
        <f>L109+L111</f>
        <v>117.93438706512215</v>
      </c>
      <c r="M112" s="10"/>
      <c r="N112" s="10"/>
      <c r="O112" s="10"/>
      <c r="P112" s="10"/>
      <c r="Q112" s="10"/>
      <c r="R112" s="10"/>
      <c r="S112" s="10"/>
      <c r="T112" s="10"/>
      <c r="U112" s="10"/>
      <c r="V112" s="10"/>
      <c r="W112" s="10"/>
      <c r="AB112" t="s">
        <v>24</v>
      </c>
      <c r="AC112" s="11">
        <f>AC109+AC111</f>
        <v>114.7466770176019</v>
      </c>
    </row>
    <row r="113" spans="10:29" hidden="1">
      <c r="L113" s="4"/>
      <c r="M113" s="4"/>
      <c r="N113" s="4"/>
      <c r="O113" s="4"/>
      <c r="P113" s="4"/>
      <c r="Q113" s="4"/>
      <c r="R113" s="4"/>
      <c r="S113" s="4"/>
      <c r="T113" s="4"/>
      <c r="U113" s="4"/>
      <c r="V113" s="4"/>
    </row>
    <row r="114" spans="10:29" hidden="1">
      <c r="J114" s="9" t="s">
        <v>70</v>
      </c>
      <c r="M114" s="4"/>
      <c r="N114" s="4"/>
      <c r="O114" s="4"/>
      <c r="P114" s="4"/>
      <c r="Q114" s="4"/>
      <c r="R114" s="4"/>
      <c r="S114" s="4"/>
      <c r="T114" s="4"/>
      <c r="U114" s="4"/>
      <c r="V114" s="4"/>
      <c r="W114" s="4"/>
      <c r="AA114" s="9" t="s">
        <v>71</v>
      </c>
    </row>
    <row r="115" spans="10:29" hidden="1">
      <c r="J115" t="s">
        <v>25</v>
      </c>
      <c r="L115" s="4"/>
      <c r="AA115" t="s">
        <v>25</v>
      </c>
      <c r="AC115" s="4"/>
    </row>
    <row r="116" spans="10:29" hidden="1">
      <c r="K116" t="s">
        <v>26</v>
      </c>
      <c r="L116" t="s">
        <v>27</v>
      </c>
      <c r="M116" s="12"/>
      <c r="N116" s="12"/>
      <c r="O116" s="12"/>
      <c r="P116" s="12"/>
      <c r="Q116" s="12"/>
      <c r="R116" s="12"/>
      <c r="S116" s="12" t="s">
        <v>73</v>
      </c>
      <c r="T116" s="12"/>
      <c r="U116" s="12"/>
      <c r="V116" s="12"/>
      <c r="AB116" t="s">
        <v>26</v>
      </c>
      <c r="AC116" t="s">
        <v>27</v>
      </c>
    </row>
    <row r="117" spans="10:29" hidden="1">
      <c r="K117" t="s">
        <v>28</v>
      </c>
      <c r="L117" s="4">
        <f>SUM(M50:V50)</f>
        <v>9208.8278900000005</v>
      </c>
      <c r="M117" s="12"/>
      <c r="N117" s="12"/>
      <c r="O117" s="12"/>
      <c r="P117" s="12"/>
      <c r="Q117" s="12"/>
      <c r="R117" s="12"/>
      <c r="S117" s="18">
        <f>(W51+AN51)/(L117+AC117)</f>
        <v>-7.3504428237146827E-2</v>
      </c>
      <c r="T117" s="12"/>
      <c r="U117" s="12"/>
      <c r="V117" s="12"/>
      <c r="AB117" t="s">
        <v>28</v>
      </c>
      <c r="AC117" s="4">
        <f>SUM(AD50:AM50)</f>
        <v>8443.5870400000022</v>
      </c>
    </row>
    <row r="118" spans="10:29" hidden="1">
      <c r="M118" s="12"/>
      <c r="N118" s="12"/>
      <c r="O118" s="12"/>
      <c r="P118" s="12"/>
      <c r="Q118" s="12"/>
      <c r="R118" s="18"/>
      <c r="S118" s="12"/>
      <c r="T118" s="12"/>
      <c r="U118" s="12"/>
      <c r="V118" s="12"/>
    </row>
    <row r="119" spans="10:29" hidden="1">
      <c r="J119" t="s">
        <v>31</v>
      </c>
      <c r="L119" s="4"/>
      <c r="M119" s="4"/>
      <c r="N119" s="4"/>
      <c r="O119" s="4"/>
      <c r="P119" s="4"/>
      <c r="Q119" s="4"/>
      <c r="R119" s="4"/>
      <c r="S119" s="4"/>
      <c r="T119" s="4"/>
      <c r="U119" s="4"/>
      <c r="V119" s="4"/>
      <c r="AA119" t="s">
        <v>31</v>
      </c>
      <c r="AC119" s="4"/>
    </row>
    <row r="120" spans="10:29" hidden="1">
      <c r="K120" t="s">
        <v>32</v>
      </c>
      <c r="L120" s="3">
        <f>SUM(M46:V46)-SUM(M47:V47)</f>
        <v>-112.63434185804363</v>
      </c>
      <c r="AB120" t="s">
        <v>32</v>
      </c>
      <c r="AC120" s="3">
        <f>SUM(AD46:AM46)-SUM(AD47:AM47)</f>
        <v>-1342.9781245395479</v>
      </c>
    </row>
    <row r="121" spans="10:29" hidden="1">
      <c r="K121" t="s">
        <v>33</v>
      </c>
      <c r="L121" s="3">
        <f>SUM(M46:N46)-SUM(M47:N47)</f>
        <v>-9.2605100000000675</v>
      </c>
      <c r="AB121" t="s">
        <v>33</v>
      </c>
      <c r="AC121" s="3">
        <f>SUM(AD46:AE46)-SUM(AD47:AE47)</f>
        <v>-236.40949000000001</v>
      </c>
    </row>
    <row r="123" spans="10:29" hidden="1">
      <c r="J123" t="s">
        <v>34</v>
      </c>
      <c r="AA123" t="s">
        <v>34</v>
      </c>
    </row>
    <row r="124" spans="10:29" hidden="1">
      <c r="K124" t="s">
        <v>33</v>
      </c>
      <c r="L124" s="4">
        <f>SUM(M51:N51)</f>
        <v>-4.3035703000000467</v>
      </c>
      <c r="AB124" t="s">
        <v>33</v>
      </c>
      <c r="AC124" s="4">
        <f>SUM(AD51:AE51)</f>
        <v>-154.4383497</v>
      </c>
    </row>
    <row r="126" spans="10:29" hidden="1">
      <c r="J126" s="16" t="s">
        <v>35</v>
      </c>
      <c r="K126" s="3">
        <f>AVERAGE(M46:V46)</f>
        <v>976.92586581419562</v>
      </c>
    </row>
    <row r="127" spans="10:29" hidden="1">
      <c r="J127">
        <v>2022</v>
      </c>
      <c r="K127" s="4">
        <v>1521.885</v>
      </c>
    </row>
    <row r="128" spans="10:29" hidden="1">
      <c r="J128" t="s">
        <v>30</v>
      </c>
      <c r="K128" s="3">
        <f>K126-K127</f>
        <v>-544.95913418580437</v>
      </c>
    </row>
    <row r="131" spans="10:21" hidden="1">
      <c r="J131" t="s">
        <v>37</v>
      </c>
    </row>
    <row r="133" spans="10:21" hidden="1">
      <c r="J133" s="17" t="s">
        <v>38</v>
      </c>
      <c r="K133">
        <v>2023</v>
      </c>
      <c r="L133">
        <v>2024</v>
      </c>
      <c r="M133">
        <v>2025</v>
      </c>
      <c r="N133">
        <v>2026</v>
      </c>
      <c r="O133">
        <v>2027</v>
      </c>
      <c r="P133">
        <v>2028</v>
      </c>
      <c r="Q133">
        <v>2029</v>
      </c>
      <c r="R133">
        <v>2030</v>
      </c>
      <c r="S133">
        <v>2031</v>
      </c>
      <c r="T133">
        <v>2032</v>
      </c>
      <c r="U133">
        <v>2033</v>
      </c>
    </row>
    <row r="134" spans="10:21" hidden="1">
      <c r="J134" t="s">
        <v>22</v>
      </c>
      <c r="K134" s="4">
        <v>26237.919999999998</v>
      </c>
      <c r="L134" s="4">
        <v>27266.205000000002</v>
      </c>
      <c r="M134" s="4">
        <v>28610.078000000001</v>
      </c>
      <c r="N134" s="4">
        <v>29932.297999999999</v>
      </c>
      <c r="O134" s="4">
        <v>31251.275000000001</v>
      </c>
      <c r="P134" s="4">
        <v>32525.38</v>
      </c>
      <c r="Q134" s="4">
        <v>33810.781999999999</v>
      </c>
      <c r="R134" s="4">
        <v>35132.682000000001</v>
      </c>
      <c r="S134" s="4">
        <v>36487.811999999998</v>
      </c>
      <c r="T134" s="4">
        <v>37874.165000000001</v>
      </c>
      <c r="U134" s="4">
        <v>39288.07</v>
      </c>
    </row>
    <row r="135" spans="10:21" hidden="1">
      <c r="J135" t="s">
        <v>39</v>
      </c>
      <c r="L135" s="18">
        <f>(L134-K134)/K134</f>
        <v>3.9190797136358507E-2</v>
      </c>
      <c r="M135" s="18">
        <f t="shared" ref="M135:U135" si="60">(M134-L134)/L134</f>
        <v>4.9287130350556652E-2</v>
      </c>
      <c r="N135" s="18">
        <f t="shared" si="60"/>
        <v>4.6215183335047094E-2</v>
      </c>
      <c r="O135" s="18">
        <f t="shared" si="60"/>
        <v>4.4065343730040459E-2</v>
      </c>
      <c r="P135" s="18">
        <f t="shared" si="60"/>
        <v>4.076969659637885E-2</v>
      </c>
      <c r="Q135" s="18">
        <f t="shared" si="60"/>
        <v>3.9519968713662937E-2</v>
      </c>
      <c r="R135" s="18">
        <f t="shared" si="60"/>
        <v>3.9096995745321758E-2</v>
      </c>
      <c r="S135" s="18">
        <f t="shared" si="60"/>
        <v>3.8571777696903335E-2</v>
      </c>
      <c r="T135" s="18">
        <f t="shared" si="60"/>
        <v>3.7994961166758996E-2</v>
      </c>
      <c r="U135" s="18">
        <f t="shared" si="60"/>
        <v>3.733164810366113E-2</v>
      </c>
    </row>
    <row r="137" spans="10:21" hidden="1">
      <c r="J137" s="17"/>
    </row>
    <row r="138" spans="10:21" hidden="1">
      <c r="J138" s="17" t="s">
        <v>42</v>
      </c>
      <c r="K138">
        <v>2023</v>
      </c>
      <c r="L138">
        <v>2024</v>
      </c>
      <c r="M138">
        <v>2025</v>
      </c>
      <c r="N138">
        <v>2026</v>
      </c>
      <c r="O138">
        <v>2027</v>
      </c>
      <c r="P138">
        <v>2028</v>
      </c>
      <c r="Q138">
        <v>2029</v>
      </c>
      <c r="R138">
        <v>2030</v>
      </c>
      <c r="S138">
        <v>2031</v>
      </c>
      <c r="T138">
        <v>2032</v>
      </c>
      <c r="U138">
        <v>2033</v>
      </c>
    </row>
    <row r="139" spans="10:21" hidden="1">
      <c r="J139" s="16" t="s">
        <v>43</v>
      </c>
      <c r="K139" s="4">
        <v>1618.3</v>
      </c>
      <c r="L139" s="4">
        <v>1695.4690000000001</v>
      </c>
      <c r="M139" s="4">
        <v>1721.7860000000001</v>
      </c>
      <c r="N139" s="4">
        <v>1759.579</v>
      </c>
      <c r="O139" s="4">
        <v>1798.2260000000001</v>
      </c>
      <c r="P139" s="4">
        <v>1837.636</v>
      </c>
      <c r="Q139" s="4">
        <v>1864.4110000000001</v>
      </c>
      <c r="R139" s="4">
        <v>1891.7470000000001</v>
      </c>
      <c r="S139" s="4">
        <v>1919.5450000000001</v>
      </c>
      <c r="T139" s="4">
        <v>1948.0170000000001</v>
      </c>
      <c r="U139" s="4">
        <v>1976.952</v>
      </c>
    </row>
    <row r="140" spans="10:21" hidden="1">
      <c r="J140" s="22" t="s">
        <v>44</v>
      </c>
    </row>
    <row r="141" spans="10:21" hidden="1">
      <c r="J141" s="16" t="s">
        <v>39</v>
      </c>
      <c r="L141" s="18">
        <f>(L139-K139)/K139</f>
        <v>4.7685225236359201E-2</v>
      </c>
      <c r="M141" s="18">
        <f t="shared" ref="M141:U141" si="61">(M139-L139)/L139</f>
        <v>1.552195882083365E-2</v>
      </c>
      <c r="N141" s="18">
        <f t="shared" si="61"/>
        <v>2.1949882273406735E-2</v>
      </c>
      <c r="O141" s="18">
        <f t="shared" si="61"/>
        <v>2.1963776562461908E-2</v>
      </c>
      <c r="P141" s="18">
        <f t="shared" si="61"/>
        <v>2.1916043923288758E-2</v>
      </c>
      <c r="Q141" s="18">
        <f t="shared" si="61"/>
        <v>1.4570350167280186E-2</v>
      </c>
      <c r="R141" s="18">
        <f t="shared" si="61"/>
        <v>1.4662003174192821E-2</v>
      </c>
      <c r="S141" s="18">
        <f t="shared" si="61"/>
        <v>1.4694353949021724E-2</v>
      </c>
      <c r="T141" s="18">
        <f t="shared" si="61"/>
        <v>1.4832681703216116E-2</v>
      </c>
      <c r="U141" s="18">
        <f t="shared" si="61"/>
        <v>1.4853566472982497E-2</v>
      </c>
    </row>
    <row r="143" spans="10:21" hidden="1">
      <c r="J143" s="16" t="s">
        <v>50</v>
      </c>
      <c r="K143">
        <v>2023</v>
      </c>
      <c r="L143">
        <v>2024</v>
      </c>
      <c r="M143">
        <v>2025</v>
      </c>
      <c r="N143">
        <v>2026</v>
      </c>
      <c r="O143">
        <v>2027</v>
      </c>
      <c r="P143">
        <v>2028</v>
      </c>
      <c r="Q143">
        <v>2029</v>
      </c>
      <c r="R143">
        <v>2030</v>
      </c>
      <c r="S143">
        <v>2031</v>
      </c>
      <c r="T143">
        <v>2032</v>
      </c>
      <c r="U143">
        <v>2033</v>
      </c>
    </row>
    <row r="144" spans="10:21" hidden="1">
      <c r="J144" s="22" t="s">
        <v>49</v>
      </c>
      <c r="L144" s="18">
        <v>2.6880000000000001E-2</v>
      </c>
      <c r="M144" s="18">
        <v>2.1690000000000001E-2</v>
      </c>
      <c r="N144" s="18">
        <v>2.0819999999999998E-2</v>
      </c>
      <c r="O144" s="18">
        <v>2.0160000000000001E-2</v>
      </c>
      <c r="P144" s="18">
        <v>2.0080000000000001E-2</v>
      </c>
      <c r="Q144" s="18">
        <v>2.0110000000000003E-2</v>
      </c>
      <c r="R144" s="18">
        <v>2.0049999999999998E-2</v>
      </c>
      <c r="S144" s="18">
        <v>1.9939999999999999E-2</v>
      </c>
      <c r="T144" s="18">
        <v>1.9720000000000001E-2</v>
      </c>
      <c r="U144" s="18">
        <v>1.9429999999999999E-2</v>
      </c>
    </row>
    <row r="145" spans="7:21" hidden="1">
      <c r="J145" s="16"/>
    </row>
    <row r="146" spans="7:21" hidden="1">
      <c r="H146" s="24"/>
    </row>
    <row r="147" spans="7:21" hidden="1">
      <c r="H147" s="24"/>
      <c r="J147" t="s">
        <v>55</v>
      </c>
      <c r="K147" t="s">
        <v>56</v>
      </c>
      <c r="L147" t="str">
        <f>L149&amp;L150&amp;L151&amp;L152</f>
        <v>https://twitter.com/intent/tweet?text=My%20discretionary%20spending%20plan%20saves%20$1.5%20trillion%20over%20a%20decade.%20What%20about%20yours?%20%23BYOBudget%20@BudgetHawks%20%0Ahttps://www.crfb.org/blogs/build-your-own-discretionary-budget</v>
      </c>
    </row>
    <row r="148" spans="7:21" hidden="1">
      <c r="H148" s="24" t="str">
        <f>HYPERLINK(L147,"test")</f>
        <v>test</v>
      </c>
    </row>
    <row r="149" spans="7:21" hidden="1">
      <c r="I149" s="25"/>
      <c r="K149">
        <v>1</v>
      </c>
      <c r="L149" s="23" t="s">
        <v>57</v>
      </c>
    </row>
    <row r="150" spans="7:21" hidden="1">
      <c r="J150" s="16"/>
      <c r="K150">
        <v>2</v>
      </c>
      <c r="L150" s="26">
        <f>ROUND(K30,1)</f>
        <v>1.5</v>
      </c>
    </row>
    <row r="151" spans="7:21" hidden="1">
      <c r="K151">
        <v>3</v>
      </c>
      <c r="L151" s="24" t="s">
        <v>62</v>
      </c>
    </row>
    <row r="152" spans="7:21" hidden="1">
      <c r="K152">
        <v>4</v>
      </c>
      <c r="L152" s="27" t="s">
        <v>80</v>
      </c>
    </row>
    <row r="154" spans="7:21" ht="14.4" hidden="1" customHeight="1">
      <c r="G154" s="101"/>
      <c r="H154" s="101"/>
      <c r="I154" s="101"/>
      <c r="J154" s="102" t="s">
        <v>83</v>
      </c>
      <c r="K154">
        <v>2023</v>
      </c>
      <c r="L154">
        <v>2024</v>
      </c>
      <c r="M154">
        <v>2025</v>
      </c>
      <c r="N154">
        <v>2026</v>
      </c>
      <c r="O154">
        <v>2027</v>
      </c>
      <c r="P154">
        <v>2028</v>
      </c>
      <c r="Q154">
        <v>2029</v>
      </c>
      <c r="R154">
        <v>2030</v>
      </c>
      <c r="S154">
        <v>2031</v>
      </c>
      <c r="T154">
        <v>2032</v>
      </c>
      <c r="U154">
        <v>2033</v>
      </c>
    </row>
    <row r="155" spans="7:21" ht="14.4" hidden="1" customHeight="1">
      <c r="J155" s="16" t="s">
        <v>84</v>
      </c>
      <c r="K155" s="4">
        <v>858.346</v>
      </c>
      <c r="L155" s="4">
        <v>886.35799999999995</v>
      </c>
      <c r="M155" s="4">
        <v>905.3</v>
      </c>
      <c r="N155" s="4">
        <v>924.3</v>
      </c>
      <c r="O155" s="4">
        <v>943.7</v>
      </c>
      <c r="P155" s="4">
        <v>963.5</v>
      </c>
      <c r="Q155" s="4">
        <v>970.2</v>
      </c>
      <c r="R155" s="4">
        <v>977</v>
      </c>
      <c r="S155" s="4">
        <v>983.8</v>
      </c>
      <c r="T155" s="4">
        <v>990.7</v>
      </c>
      <c r="U155" s="4">
        <v>997.6</v>
      </c>
    </row>
    <row r="156" spans="7:21" ht="14.4" hidden="1" customHeight="1">
      <c r="J156" s="17" t="s">
        <v>39</v>
      </c>
      <c r="K156" s="4"/>
      <c r="L156" s="18">
        <f>(L155-K155)/K155</f>
        <v>3.2634858204034202E-2</v>
      </c>
      <c r="M156" s="18">
        <f t="shared" ref="M156:U156" si="62">(M155-L155)/L155</f>
        <v>2.1370597433542665E-2</v>
      </c>
      <c r="N156" s="18">
        <f t="shared" si="62"/>
        <v>2.0987517949850879E-2</v>
      </c>
      <c r="O156" s="18">
        <f t="shared" si="62"/>
        <v>2.0988856431894506E-2</v>
      </c>
      <c r="P156" s="18">
        <f t="shared" si="62"/>
        <v>2.0981244039419259E-2</v>
      </c>
      <c r="Q156" s="18">
        <f t="shared" si="62"/>
        <v>6.9538142189933009E-3</v>
      </c>
      <c r="R156" s="18">
        <f t="shared" si="62"/>
        <v>7.0088641517212476E-3</v>
      </c>
      <c r="S156" s="18">
        <f t="shared" si="62"/>
        <v>6.9600818833162274E-3</v>
      </c>
      <c r="T156" s="18">
        <f t="shared" si="62"/>
        <v>7.0136206546046872E-3</v>
      </c>
      <c r="U156" s="18">
        <f t="shared" si="62"/>
        <v>6.9647723831633961E-3</v>
      </c>
    </row>
    <row r="157" spans="7:21" ht="14.4" hidden="1" customHeight="1">
      <c r="J157" s="16" t="s">
        <v>85</v>
      </c>
      <c r="K157" s="4">
        <v>641.20600000000002</v>
      </c>
      <c r="L157" s="4">
        <v>688.1</v>
      </c>
      <c r="M157" s="4">
        <v>703.9</v>
      </c>
      <c r="N157" s="4">
        <v>720.1</v>
      </c>
      <c r="O157" s="4">
        <v>736.7</v>
      </c>
      <c r="P157" s="4">
        <v>753.6</v>
      </c>
      <c r="Q157" s="4">
        <v>770.9</v>
      </c>
      <c r="R157" s="4">
        <v>788.6</v>
      </c>
      <c r="S157" s="4">
        <v>806.7</v>
      </c>
      <c r="T157" s="4">
        <v>825.3</v>
      </c>
      <c r="U157" s="4">
        <v>844.3</v>
      </c>
    </row>
    <row r="158" spans="7:21" hidden="1">
      <c r="G158" s="101"/>
      <c r="H158" s="101"/>
      <c r="I158" s="101"/>
      <c r="J158" s="102" t="s">
        <v>86</v>
      </c>
      <c r="K158" s="4">
        <v>118.748</v>
      </c>
      <c r="L158" s="4">
        <v>121.011</v>
      </c>
      <c r="M158" s="4">
        <v>112.586</v>
      </c>
      <c r="N158" s="4">
        <v>115.179</v>
      </c>
      <c r="O158" s="4">
        <v>117.82599999999999</v>
      </c>
      <c r="P158" s="4">
        <v>120.536</v>
      </c>
      <c r="Q158" s="4">
        <v>123.31100000000001</v>
      </c>
      <c r="R158" s="4">
        <v>126.14700000000001</v>
      </c>
      <c r="S158" s="4">
        <v>129.04499999999999</v>
      </c>
      <c r="T158" s="4">
        <v>132.017</v>
      </c>
      <c r="U158" s="4">
        <v>135.05199999999999</v>
      </c>
    </row>
    <row r="159" spans="7:21" ht="14.4" hidden="1" customHeight="1">
      <c r="J159" s="16" t="s">
        <v>87</v>
      </c>
      <c r="K159" s="4">
        <f>SUM(K157:K158)</f>
        <v>759.95400000000006</v>
      </c>
      <c r="L159" s="4">
        <f>SUM(L157:L158)</f>
        <v>809.11099999999999</v>
      </c>
      <c r="M159" s="4">
        <f t="shared" ref="M159:U159" si="63">SUM(M157:M158)</f>
        <v>816.48599999999999</v>
      </c>
      <c r="N159" s="4">
        <f t="shared" si="63"/>
        <v>835.279</v>
      </c>
      <c r="O159" s="4">
        <f t="shared" si="63"/>
        <v>854.52600000000007</v>
      </c>
      <c r="P159" s="4">
        <f t="shared" si="63"/>
        <v>874.13599999999997</v>
      </c>
      <c r="Q159" s="4">
        <f t="shared" si="63"/>
        <v>894.21100000000001</v>
      </c>
      <c r="R159" s="4">
        <f t="shared" si="63"/>
        <v>914.74700000000007</v>
      </c>
      <c r="S159" s="4">
        <f t="shared" si="63"/>
        <v>935.745</v>
      </c>
      <c r="T159" s="4">
        <f t="shared" si="63"/>
        <v>957.31700000000001</v>
      </c>
      <c r="U159" s="4">
        <f t="shared" si="63"/>
        <v>979.35199999999998</v>
      </c>
    </row>
    <row r="160" spans="7:21" ht="14.4" hidden="1" customHeight="1">
      <c r="J160" s="17" t="s">
        <v>39</v>
      </c>
      <c r="L160" s="18">
        <f>(L159-K159)/K159</f>
        <v>6.4684178252894145E-2</v>
      </c>
      <c r="M160" s="18">
        <f t="shared" ref="M160:U160" si="64">(M159-L159)/L159</f>
        <v>9.1149422019970068E-3</v>
      </c>
      <c r="N160" s="18">
        <f t="shared" si="64"/>
        <v>2.3016928642989602E-2</v>
      </c>
      <c r="O160" s="18">
        <f t="shared" si="64"/>
        <v>2.3042600137199751E-2</v>
      </c>
      <c r="P160" s="18">
        <f t="shared" si="64"/>
        <v>2.2948394782604506E-2</v>
      </c>
      <c r="Q160" s="18">
        <f t="shared" si="64"/>
        <v>2.2965533967254575E-2</v>
      </c>
      <c r="R160" s="18">
        <f t="shared" si="64"/>
        <v>2.2965496957653236E-2</v>
      </c>
      <c r="S160" s="18">
        <f t="shared" si="64"/>
        <v>2.2954980994744922E-2</v>
      </c>
      <c r="T160" s="18">
        <f t="shared" si="64"/>
        <v>2.3053289090510774E-2</v>
      </c>
      <c r="U160" s="18">
        <f t="shared" si="64"/>
        <v>2.3017453988595175E-2</v>
      </c>
    </row>
    <row r="162" spans="8:30" ht="14.4" hidden="1" customHeight="1">
      <c r="K162" s="10">
        <f>K155+K159</f>
        <v>1618.3000000000002</v>
      </c>
      <c r="L162" s="10">
        <f>L155+L159</f>
        <v>1695.4690000000001</v>
      </c>
      <c r="M162" s="10">
        <f t="shared" ref="M162:U162" si="65">M155+M159</f>
        <v>1721.7860000000001</v>
      </c>
      <c r="N162" s="10">
        <f t="shared" si="65"/>
        <v>1759.579</v>
      </c>
      <c r="O162" s="10">
        <f t="shared" si="65"/>
        <v>1798.2260000000001</v>
      </c>
      <c r="P162" s="10">
        <f t="shared" si="65"/>
        <v>1837.636</v>
      </c>
      <c r="Q162" s="10">
        <f t="shared" si="65"/>
        <v>1864.4110000000001</v>
      </c>
      <c r="R162" s="10">
        <f t="shared" si="65"/>
        <v>1891.7470000000001</v>
      </c>
      <c r="S162" s="10">
        <f t="shared" si="65"/>
        <v>1919.5450000000001</v>
      </c>
      <c r="T162" s="10">
        <f t="shared" si="65"/>
        <v>1948.0170000000001</v>
      </c>
      <c r="U162" s="10">
        <f t="shared" si="65"/>
        <v>1976.952</v>
      </c>
    </row>
    <row r="165" spans="8:30" ht="14.4" hidden="1" customHeight="1">
      <c r="I165" s="16" t="s">
        <v>91</v>
      </c>
      <c r="J165" s="4">
        <f>L155</f>
        <v>886.35799999999995</v>
      </c>
    </row>
    <row r="166" spans="8:30" ht="14.4" hidden="1" customHeight="1">
      <c r="I166" s="16" t="s">
        <v>92</v>
      </c>
      <c r="J166" s="4">
        <f>L159</f>
        <v>809.11099999999999</v>
      </c>
    </row>
    <row r="170" spans="8:30" ht="14.4" hidden="1" customHeight="1">
      <c r="H170" t="s">
        <v>106</v>
      </c>
      <c r="I170" t="s">
        <v>48</v>
      </c>
      <c r="L170" t="s">
        <v>107</v>
      </c>
      <c r="M170" t="s">
        <v>48</v>
      </c>
      <c r="T170">
        <v>2023</v>
      </c>
      <c r="U170">
        <v>2024</v>
      </c>
      <c r="V170">
        <v>2025</v>
      </c>
      <c r="W170">
        <v>2026</v>
      </c>
      <c r="X170">
        <v>2027</v>
      </c>
      <c r="Y170">
        <v>2028</v>
      </c>
      <c r="Z170">
        <v>2029</v>
      </c>
      <c r="AA170">
        <v>2030</v>
      </c>
      <c r="AB170">
        <v>2031</v>
      </c>
      <c r="AC170">
        <v>2032</v>
      </c>
      <c r="AD170">
        <v>2033</v>
      </c>
    </row>
    <row r="171" spans="8:30" ht="14.4" hidden="1" customHeight="1">
      <c r="I171" t="s">
        <v>93</v>
      </c>
      <c r="M171" t="s">
        <v>108</v>
      </c>
      <c r="S171" s="16" t="s">
        <v>121</v>
      </c>
    </row>
    <row r="172" spans="8:30" ht="14.4" hidden="1" customHeight="1">
      <c r="I172" t="s">
        <v>94</v>
      </c>
      <c r="M172" t="s">
        <v>104</v>
      </c>
      <c r="S172" s="16" t="s">
        <v>119</v>
      </c>
      <c r="V172" s="27">
        <v>0.01</v>
      </c>
      <c r="W172" s="18">
        <f t="shared" ref="W172:AD172" si="66">((Q13-P13)/P13)</f>
        <v>2.5030933019261157E-2</v>
      </c>
      <c r="X172" s="18">
        <f t="shared" si="66"/>
        <v>2.4548787730124696E-2</v>
      </c>
      <c r="Y172" s="18">
        <f t="shared" si="66"/>
        <v>2.4036189744139E-2</v>
      </c>
      <c r="Z172" s="18">
        <f t="shared" si="66"/>
        <v>2.3595063186779491E-2</v>
      </c>
      <c r="AA172" s="18">
        <f t="shared" si="66"/>
        <v>2.3916715253442557E-2</v>
      </c>
      <c r="AB172" s="18">
        <f t="shared" si="66"/>
        <v>2.3678978718075155E-2</v>
      </c>
      <c r="AC172" s="18">
        <f t="shared" si="66"/>
        <v>2.352502652228353E-2</v>
      </c>
      <c r="AD172" s="18">
        <f t="shared" si="66"/>
        <v>2.3958263299044477E-2</v>
      </c>
    </row>
    <row r="173" spans="8:30" ht="14.4" hidden="1" customHeight="1">
      <c r="I173" t="s">
        <v>125</v>
      </c>
      <c r="M173" t="s">
        <v>112</v>
      </c>
      <c r="S173" s="16" t="s">
        <v>120</v>
      </c>
      <c r="V173" s="27">
        <v>0.01</v>
      </c>
      <c r="W173" s="27">
        <v>0.01</v>
      </c>
      <c r="X173" s="27">
        <v>0.01</v>
      </c>
      <c r="Y173" s="27">
        <v>0.01</v>
      </c>
      <c r="Z173" s="27">
        <v>0.01</v>
      </c>
      <c r="AA173" s="18">
        <f>((U13-T13)/T13)</f>
        <v>2.3916715253442557E-2</v>
      </c>
      <c r="AB173" s="18">
        <f>((V13-U13)/U13)</f>
        <v>2.3678978718075155E-2</v>
      </c>
      <c r="AC173" s="18">
        <f>((W13-V13)/V13)</f>
        <v>2.352502652228353E-2</v>
      </c>
      <c r="AD173" s="18">
        <f>((X13-W13)/W13)</f>
        <v>2.3958263299044477E-2</v>
      </c>
    </row>
    <row r="174" spans="8:30" ht="14.4" hidden="1" customHeight="1">
      <c r="I174" t="s">
        <v>118</v>
      </c>
      <c r="M174" t="s">
        <v>123</v>
      </c>
      <c r="S174" s="16"/>
    </row>
    <row r="175" spans="8:30" ht="14.4" hidden="1" customHeight="1">
      <c r="I175" t="s">
        <v>95</v>
      </c>
      <c r="M175" t="s">
        <v>124</v>
      </c>
      <c r="S175" s="16" t="s">
        <v>122</v>
      </c>
    </row>
    <row r="176" spans="8:30" ht="14.4" hidden="1" customHeight="1">
      <c r="I176" t="s">
        <v>96</v>
      </c>
      <c r="M176" t="s">
        <v>113</v>
      </c>
      <c r="S176" s="16" t="s">
        <v>119</v>
      </c>
      <c r="V176" s="27">
        <v>0.01</v>
      </c>
      <c r="W176" s="18">
        <f t="shared" ref="W176:AD176" si="67">((Q20-P20)/P20)</f>
        <v>2.2939707669922066E-2</v>
      </c>
      <c r="X176" s="18">
        <f t="shared" si="67"/>
        <v>2.3777468185490078E-2</v>
      </c>
      <c r="Y176" s="18">
        <f t="shared" si="67"/>
        <v>2.2792974110328441E-2</v>
      </c>
      <c r="Z176" s="18">
        <f t="shared" si="67"/>
        <v>2.4290818996167314E-2</v>
      </c>
      <c r="AA176" s="18">
        <f t="shared" si="67"/>
        <v>2.4474478735736223E-2</v>
      </c>
      <c r="AB176" s="18">
        <f t="shared" si="67"/>
        <v>2.4213689055574496E-2</v>
      </c>
      <c r="AC176" s="18">
        <f t="shared" si="67"/>
        <v>2.3872187881650304E-2</v>
      </c>
      <c r="AD176" s="18">
        <f t="shared" si="67"/>
        <v>2.4874166102776343E-2</v>
      </c>
    </row>
    <row r="177" spans="9:30" ht="14.4" hidden="1" customHeight="1">
      <c r="I177" t="s">
        <v>97</v>
      </c>
      <c r="M177" t="s">
        <v>109</v>
      </c>
      <c r="S177" s="16" t="s">
        <v>120</v>
      </c>
      <c r="V177" s="27">
        <v>0.01</v>
      </c>
      <c r="W177" s="27">
        <v>0.01</v>
      </c>
      <c r="X177" s="27">
        <v>0.01</v>
      </c>
      <c r="Y177" s="27">
        <v>0.01</v>
      </c>
      <c r="Z177" s="27">
        <v>0.01</v>
      </c>
      <c r="AA177" s="18">
        <f>((U20-T20)/T20)</f>
        <v>2.4474478735736223E-2</v>
      </c>
      <c r="AB177" s="18">
        <f>((V20-U20)/U20)</f>
        <v>2.4213689055574496E-2</v>
      </c>
      <c r="AC177" s="18">
        <f>((W20-V20)/V20)</f>
        <v>2.3872187881650304E-2</v>
      </c>
      <c r="AD177" s="18">
        <f>((X20-W20)/W20)</f>
        <v>2.4874166102776343E-2</v>
      </c>
    </row>
    <row r="178" spans="9:30" ht="14.4" hidden="1" customHeight="1">
      <c r="I178" t="s">
        <v>98</v>
      </c>
      <c r="M178" t="s">
        <v>110</v>
      </c>
    </row>
    <row r="179" spans="9:30" ht="14.4" hidden="1" customHeight="1">
      <c r="I179" t="s">
        <v>99</v>
      </c>
      <c r="M179" t="s">
        <v>42</v>
      </c>
    </row>
    <row r="180" spans="9:30" ht="14.4" hidden="1" customHeight="1">
      <c r="I180" t="s">
        <v>100</v>
      </c>
      <c r="M180" t="s">
        <v>111</v>
      </c>
    </row>
    <row r="181" spans="9:30" ht="14.4" hidden="1" customHeight="1">
      <c r="I181" t="s">
        <v>101</v>
      </c>
    </row>
    <row r="182" spans="9:30" ht="14.4" hidden="1" customHeight="1">
      <c r="I182" t="s">
        <v>102</v>
      </c>
    </row>
    <row r="183" spans="9:30" ht="14.4" hidden="1" customHeight="1">
      <c r="I183" t="s">
        <v>103</v>
      </c>
    </row>
  </sheetData>
  <sheetProtection algorithmName="SHA-512" hashValue="fAYfoLoxYF22kJ2J8+/Pymy66bBHSo/nz66Ld33MAv+2hC0JHoWgK2ZsAqmZZY2PIwQYSLLdR4IEriImhKp44A==" saltValue="90leZQ/x6S6Ng0SmJNPAKw==" spinCount="100000" sheet="1" objects="1" scenarios="1"/>
  <mergeCells count="19">
    <mergeCell ref="L6:N6"/>
    <mergeCell ref="K1:U2"/>
    <mergeCell ref="L4:N4"/>
    <mergeCell ref="R4:T4"/>
    <mergeCell ref="O6:Q6"/>
    <mergeCell ref="G40:X43"/>
    <mergeCell ref="G38:X39"/>
    <mergeCell ref="F36:J36"/>
    <mergeCell ref="L8:N8"/>
    <mergeCell ref="R8:T8"/>
    <mergeCell ref="L10:N10"/>
    <mergeCell ref="G26:J26"/>
    <mergeCell ref="Q26:X26"/>
    <mergeCell ref="G28:J28"/>
    <mergeCell ref="G30:J30"/>
    <mergeCell ref="G32:H35"/>
    <mergeCell ref="K33:M33"/>
    <mergeCell ref="K34:M34"/>
    <mergeCell ref="K36:N36"/>
  </mergeCells>
  <conditionalFormatting sqref="K6">
    <cfRule type="expression" dxfId="16" priority="13">
      <formula>$L$4="Custom Level"</formula>
    </cfRule>
  </conditionalFormatting>
  <conditionalFormatting sqref="K10">
    <cfRule type="expression" dxfId="15" priority="10">
      <formula>$L$8="Custom Level"</formula>
    </cfRule>
  </conditionalFormatting>
  <conditionalFormatting sqref="L26">
    <cfRule type="expression" dxfId="14" priority="21">
      <formula>$K$26&lt;0</formula>
    </cfRule>
  </conditionalFormatting>
  <conditionalFormatting sqref="L28">
    <cfRule type="expression" dxfId="13" priority="20">
      <formula>$K$28&lt;0</formula>
    </cfRule>
  </conditionalFormatting>
  <conditionalFormatting sqref="L30">
    <cfRule type="expression" dxfId="12" priority="19">
      <formula>$K$30&lt;0</formula>
    </cfRule>
  </conditionalFormatting>
  <conditionalFormatting sqref="L6:N6">
    <cfRule type="expression" dxfId="11" priority="14">
      <formula>$L$4="Custom Level"</formula>
    </cfRule>
  </conditionalFormatting>
  <conditionalFormatting sqref="L10:N10">
    <cfRule type="expression" dxfId="10" priority="12">
      <formula>$L$8="Custom Level"</formula>
    </cfRule>
  </conditionalFormatting>
  <conditionalFormatting sqref="L17:N17">
    <cfRule type="expression" dxfId="9" priority="8">
      <formula>$R$4="Custom Growth Rates"</formula>
    </cfRule>
  </conditionalFormatting>
  <conditionalFormatting sqref="N17">
    <cfRule type="expression" dxfId="8" priority="1">
      <formula>$L$4="Custom Growth Rate"</formula>
    </cfRule>
  </conditionalFormatting>
  <conditionalFormatting sqref="N23">
    <cfRule type="expression" dxfId="7" priority="2">
      <formula>$L$8="Custom Growth Rate"</formula>
    </cfRule>
    <cfRule type="expression" dxfId="6" priority="7">
      <formula>$R$8="Custom Growth Rates"</formula>
    </cfRule>
  </conditionalFormatting>
  <conditionalFormatting sqref="N26">
    <cfRule type="expression" dxfId="5" priority="18">
      <formula>$M$26&lt;0</formula>
    </cfRule>
  </conditionalFormatting>
  <conditionalFormatting sqref="N28">
    <cfRule type="expression" dxfId="4" priority="17">
      <formula>$M$28&lt;0</formula>
    </cfRule>
  </conditionalFormatting>
  <conditionalFormatting sqref="O17">
    <cfRule type="expression" dxfId="3" priority="4">
      <formula>$L$4="Custom Growth Rate"</formula>
    </cfRule>
  </conditionalFormatting>
  <conditionalFormatting sqref="O23">
    <cfRule type="expression" dxfId="2" priority="6">
      <formula>$L$8="Custom Growth Rate"</formula>
    </cfRule>
  </conditionalFormatting>
  <conditionalFormatting sqref="P17:X17">
    <cfRule type="expression" dxfId="1" priority="3">
      <formula>$R$4="Custom Growth Rates"</formula>
    </cfRule>
  </conditionalFormatting>
  <conditionalFormatting sqref="P23:X23">
    <cfRule type="expression" dxfId="0" priority="5">
      <formula>$R$8="Custom Growth Rates"</formula>
    </cfRule>
  </conditionalFormatting>
  <dataValidations count="2">
    <dataValidation type="list" allowBlank="1" showInputMessage="1" showErrorMessage="1" sqref="L8:N8 L4:N4" xr:uid="{C7ADB687-449E-4124-8B61-96E30F316E11}">
      <formula1>$I$170:$I$183</formula1>
    </dataValidation>
    <dataValidation type="list" allowBlank="1" showInputMessage="1" showErrorMessage="1" sqref="R8:T8 R4:T4" xr:uid="{2CC80E22-872A-4297-A912-698C9B10FE07}">
      <formula1>$M$170:$M$180</formula1>
    </dataValidation>
  </dataValidations>
  <hyperlinks>
    <hyperlink ref="L149" r:id="rId1" xr:uid="{6D4C4E5D-D0BA-4D85-AF54-979FACF1002B}"/>
    <hyperlink ref="K36" r:id="rId2" xr:uid="{10102DDF-E26F-4C02-AE40-1B2C927DE4A4}"/>
    <hyperlink ref="L151" r:id="rId3" xr:uid="{91BA54E7-6715-4FA1-AE8B-E7593A2D504E}"/>
  </hyperlinks>
  <pageMargins left="0.7" right="0.7" top="0.75" bottom="0.75" header="0.3" footer="0.3"/>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Discretionary Model</vt:lpstr>
      <vt:lpstr>Defense &amp; Nondefense Model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Joey Garrand</dc:creator>
  <cp:lastModifiedBy>Joey Garrand</cp:lastModifiedBy>
  <dcterms:created xsi:type="dcterms:W3CDTF">2023-03-15T14:06:10Z</dcterms:created>
  <dcterms:modified xsi:type="dcterms:W3CDTF">2023-06-06T16:02:34Z</dcterms:modified>
</cp:coreProperties>
</file>